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F946" lockStructure="1"/>
  <bookViews>
    <workbookView xWindow="0" yWindow="240" windowWidth="17496" windowHeight="10176" tabRatio="879"/>
  </bookViews>
  <sheets>
    <sheet name="ورودی ها" sheetId="1" r:id="rId1"/>
    <sheet name="محاسبات  ریل" sheetId="2" r:id="rId2"/>
    <sheet name="محاسبات  سیم بکسل" sheetId="3" r:id="rId3"/>
    <sheet name="محاسبات دیگر " sheetId="4" r:id="rId4"/>
    <sheet name="Omega" sheetId="13" state="hidden" r:id="rId5"/>
    <sheet name="ریل راهنما" sheetId="5" r:id="rId6"/>
    <sheet name="مساحت کابین &amp; Neq(t)" sheetId="7" r:id="rId7"/>
    <sheet name="فلکه هرزگرد" sheetId="8" r:id="rId8"/>
    <sheet name="جدول مشخصات سیم بکسل" sheetId="9" r:id="rId9"/>
    <sheet name="Sheet3" sheetId="12" r:id="rId10"/>
  </sheets>
  <externalReferences>
    <externalReference r:id="rId11"/>
  </externalReferences>
  <definedNames>
    <definedName name="µ1" comment="ضریب اصطکاک در حالت بارگذاری" localSheetId="2">'محاسبات  سیم بکسل'!$C$47</definedName>
    <definedName name="µ2" comment="ضریب اصطکاک در حالت توقف اضطراری" localSheetId="2">'محاسبات  سیم بکسل'!$C$48</definedName>
    <definedName name="µ3" comment="ضریب اصطکاک در حالت کابین گیر کرده" localSheetId="2">'محاسبات  سیم بکسل'!$C$49</definedName>
    <definedName name="A" comment="سطح مقطع ریل کابین" localSheetId="1">'محاسبات  ریل'!$C$27</definedName>
    <definedName name="a." comment="شتاب ناشی از توقف اضطراری کابین" localSheetId="4">'[1]ورودی ها'!$D$64</definedName>
    <definedName name="a." comment="شتاب ناشی از توقف اضطراری کابین">'ورودی ها'!$D$67</definedName>
    <definedName name="A1.">'ورودی ها'!$D$39</definedName>
    <definedName name="Amax" comment="حداکثر مساحت مجاز کابین" localSheetId="4">'[1]محاسبات دیگر '!$C$37</definedName>
    <definedName name="Amax" comment="حداکثر مساحت مجاز کابین">'محاسبات دیگر '!$C$38</definedName>
    <definedName name="Amin" comment="حداقل مساحت مجاز کابین" localSheetId="4">'[1]محاسبات دیگر '!$C$36</definedName>
    <definedName name="Amin" comment="حداقل مساحت مجاز کابین">'محاسبات دیگر '!$C$37</definedName>
    <definedName name="Atotal" comment="جمع مساحت مفید داخل کابین" localSheetId="4">'[1]محاسبات دیگر '!$C$35</definedName>
    <definedName name="Atotal" comment="جمع مساحت مفید داخل کابین">'محاسبات دیگر '!$C$36</definedName>
    <definedName name="c." comment="ضخامت فلانچ ریل" localSheetId="1">'محاسبات  ریل'!$C$29</definedName>
    <definedName name="Comp" comment="زنجیر جبران دارد؟" localSheetId="4">'[1]ورودی ها'!$D$57</definedName>
    <definedName name="Comp" comment="زنجیر جبران دارد؟">'ورودی ها'!$D$60</definedName>
    <definedName name="CsMAX">'ورودی ها'!$D$21</definedName>
    <definedName name="DD" comment="عمف آستانه جلوی درب" localSheetId="4">'[1]ورودی ها'!$D$14</definedName>
    <definedName name="DD" comment="عمف آستانه جلوی درب">'ورودی ها'!$D$14</definedName>
    <definedName name="dDPcar" localSheetId="4">'[1]ورودی ها'!$D$69</definedName>
    <definedName name="dDPcar">'ورودی ها'!$D$72</definedName>
    <definedName name="dDPcwt" localSheetId="4">'[1]ورودی ها'!$D$70</definedName>
    <definedName name="dDPcwt">'ورودی ها'!$D$73</definedName>
    <definedName name="Door_Type" comment="نوع در کابین" localSheetId="4">'[1]ورودی ها'!$D$13</definedName>
    <definedName name="Door_Type" comment="نوع در کابین">'ورودی ها'!$D$13</definedName>
    <definedName name="Dp" comment="میانگین قطر فلکه های هرز گرد" localSheetId="4">'[1]محاسبات  سیم بکسل'!$C$115</definedName>
    <definedName name="Dp" comment="میانگین قطر فلکه های هرز گرد">'محاسبات  سیم بکسل'!$C$143</definedName>
    <definedName name="dPcar" localSheetId="4">'[1]ورودی ها'!$D$71</definedName>
    <definedName name="dPcar">'ورودی ها'!$D$74</definedName>
    <definedName name="dPcwt" localSheetId="4">'[1]ورودی ها'!$D$72</definedName>
    <definedName name="dPcwt">'ورودی ها'!$D$75</definedName>
    <definedName name="dPDT" localSheetId="4">'[1]ورودی ها'!#REF!</definedName>
    <definedName name="dsr" comment="قطر سیم بکسل ها" localSheetId="4">'[1]ورودی ها'!$D$52</definedName>
    <definedName name="dsr" comment="قطر سیم بکسل ها">'ورودی ها'!$D$55</definedName>
    <definedName name="Dt" comment="قطر فلکه کششی موتور" localSheetId="4">'[1]ورودی ها'!$D$22</definedName>
    <definedName name="Dt" comment="قطر فلکه کششی موتور">'ورودی ها'!$D$23</definedName>
    <definedName name="DW" comment="عرض بازشو درب" localSheetId="4">'[1]ورودی ها'!$D$12</definedName>
    <definedName name="DW" comment="عرض بازشو درب">'ورودی ها'!$D$12</definedName>
    <definedName name="DX" comment="عمق کابین" localSheetId="4">'[1]ورودی ها'!$D$35</definedName>
    <definedName name="DX" comment="عمق کابین">'ورودی ها'!$D$37</definedName>
    <definedName name="DY" comment="عرض کابین" localSheetId="4">'[1]ورودی ها'!$D$36</definedName>
    <definedName name="DY" comment="عرض کابین">'ورودی ها'!$D$38</definedName>
    <definedName name="E" comment="مدول کشسانی" localSheetId="1">'محاسبات  ریل'!$C$23</definedName>
    <definedName name="f1." comment="عامل اصطکاک در حال بارگذاری" localSheetId="4">'[1]محاسبات  سیم بکسل'!$C$48</definedName>
    <definedName name="f1." comment="عامل اصطکاک در حال بارگذاری">'محاسبات  سیم بکسل'!$C$50</definedName>
    <definedName name="f2." comment="عامل اصطکاک در حالت توقف اضطراری" localSheetId="4">'[1]محاسبات  سیم بکسل'!$C$49</definedName>
    <definedName name="f2." comment="عامل اصطکاک در حالت توقف اضطراری">'محاسبات  سیم بکسل'!$C$51</definedName>
    <definedName name="f3." comment="عامل اصطکاک در حالت کابین گیر کرده" localSheetId="4">'[1]محاسبات  سیم بکسل'!$C$50</definedName>
    <definedName name="f3." comment="عامل اصطکاک در حالت کابین گیر کرده">'محاسبات  سیم بکسل'!$C$52</definedName>
    <definedName name="Fk" comment="نیروی کمانشی" localSheetId="4">'[1]محاسبات  ریل'!$C$40</definedName>
    <definedName name="Fk" comment="نیروی کمانشی">'محاسبات  ریل'!$C$40</definedName>
    <definedName name="FRCar" comment="جرم واحد طول طناب/زنجیر جبران" localSheetId="4">'[1]ورودی ها'!$D$62</definedName>
    <definedName name="FRCar" comment="جرم واحد طول طناب/زنجیر جبران">'ورودی ها'!$D$65</definedName>
    <definedName name="FRCwt" localSheetId="4">'[1]ورودی ها'!$D$63</definedName>
    <definedName name="FRCwt">'ورودی ها'!$D$66</definedName>
    <definedName name="FS" localSheetId="1">'محاسبات  ریل'!$C$24</definedName>
    <definedName name="Fsr_min" comment="حداقل بار گسیختگی سیم بکسل" localSheetId="4">'[1]محاسبات  سیم بکسل'!$C$15</definedName>
    <definedName name="Fsr_min" comment="حداقل بار گسیختگی سیم بکسل">'محاسبات  سیم بکسل'!$C$15</definedName>
    <definedName name="gn" localSheetId="4">'[1]محاسبات دیگر '!$C$9</definedName>
    <definedName name="gn" localSheetId="1">'محاسبات  ریل'!$C$25</definedName>
    <definedName name="gn" localSheetId="2">'محاسبات  سیم بکسل'!$C$25</definedName>
    <definedName name="gn">'محاسبات دیگر '!$C$9</definedName>
    <definedName name="Groove_Type" localSheetId="4">'[1]ورودی ها'!$D$24</definedName>
    <definedName name="Groove_Type">'ورودی ها'!$D$25</definedName>
    <definedName name="Guide_Rail_Table" localSheetId="4">'[1]ریل راهنما'!$B$4:$M$16</definedName>
    <definedName name="Guide_Rail_Table">'ریل راهنما'!$B$4:$M$16</definedName>
    <definedName name="Guide_Rail_Type" localSheetId="4">'[1]ورودی ها'!$D$32</definedName>
    <definedName name="Guide_Rail_Type">'ورودی ها'!$F$34</definedName>
    <definedName name="Guide_Shoe_Table" localSheetId="4">'[1]فلکه هرزگرد'!$B$16:$D$18</definedName>
    <definedName name="Guide_Shoe_Table">'فلکه هرزگرد'!$B$16:$D$18</definedName>
    <definedName name="Guide_Shoe_Type" localSheetId="4">'[1]ورودی ها'!$D$17</definedName>
    <definedName name="Guide_Shoe_Type">'ورودی ها'!$D$17</definedName>
    <definedName name="h" localSheetId="4">'[1]ورودی ها'!$D$38</definedName>
    <definedName name="h">'ورودی ها'!$D$41</definedName>
    <definedName name="H." localSheetId="4">'[1]ورودی ها'!$D$10</definedName>
    <definedName name="H.">'ورودی ها'!$D$10</definedName>
    <definedName name="Hardened" localSheetId="4">'[1]ورودی ها'!$D$25</definedName>
    <definedName name="Hardened">'ورودی ها'!$D$26</definedName>
    <definedName name="hP" localSheetId="4">'[1]ورودی ها'!$D$29</definedName>
    <definedName name="hP">'ورودی ها'!$D$31</definedName>
    <definedName name="i" localSheetId="1">'محاسبات  ریل'!$C$34</definedName>
    <definedName name="iDPcar" localSheetId="4">'[1]ورودی ها'!$C$69</definedName>
    <definedName name="iDPcar">'ورودی ها'!$C$72</definedName>
    <definedName name="iDPcwt" localSheetId="4">'[1]ورودی ها'!$C$70</definedName>
    <definedName name="iDPcwt">'ورودی ها'!$C$73</definedName>
    <definedName name="iG">'ورودی ها'!$D$32</definedName>
    <definedName name="iPcar" localSheetId="4">'[1]ورودی ها'!$C$71</definedName>
    <definedName name="iPcar">'ورودی ها'!$C$74</definedName>
    <definedName name="iPcwt" localSheetId="4">'[1]ورودی ها'!$C$72</definedName>
    <definedName name="iPcwt">'ورودی ها'!$C$75</definedName>
    <definedName name="iPDT" localSheetId="4">'[1]ورودی ها'!#REF!</definedName>
    <definedName name="IX" localSheetId="1">'محاسبات  ریل'!$C$30</definedName>
    <definedName name="IY" localSheetId="1">'محاسبات  ریل'!$C$31</definedName>
    <definedName name="K1." localSheetId="1">'محاسبات  ریل'!$C$20</definedName>
    <definedName name="K2." localSheetId="4">'[1]محاسبات  ریل'!$C$21</definedName>
    <definedName name="K2.">'محاسبات  ریل'!$C$21</definedName>
    <definedName name="K3." localSheetId="1">'محاسبات  ریل'!$C$22</definedName>
    <definedName name="Kp" localSheetId="4">'[1]محاسبات  سیم بکسل'!$C$116</definedName>
    <definedName name="Kp">'محاسبات  سیم بکسل'!$C$144</definedName>
    <definedName name="L" localSheetId="4">'[1]ورودی ها'!$D$37</definedName>
    <definedName name="L">'ورودی ها'!$D$40</definedName>
    <definedName name="Lift_Type" localSheetId="4">'[1]ورودی ها'!$D$6</definedName>
    <definedName name="Lift_Type">'ورودی ها'!$D$6</definedName>
    <definedName name="loads" localSheetId="4">'[1]مساحت کابین &amp; Neq(t)'!$B$4:$B$31</definedName>
    <definedName name="loads">'مساحت کابین &amp; Neq(t)'!$B$4:$B$31</definedName>
    <definedName name="lp" localSheetId="4">'[1]محاسبات  سیم بکسل'!$C$38</definedName>
    <definedName name="lp">'محاسبات  سیم بکسل'!$C$40</definedName>
    <definedName name="M" localSheetId="4">'[1]ورودی ها'!$D$41</definedName>
    <definedName name="M">'ورودی ها'!$D$44</definedName>
    <definedName name="Max_Car_Area" localSheetId="4">'[1]مساحت کابین &amp; Neq(t)'!$B$4:$C$31</definedName>
    <definedName name="Max_Car_Area">'مساحت کابین &amp; Neq(t)'!$B$4:$C$31</definedName>
    <definedName name="MComp" localSheetId="4">'[1]ورودی ها'!$D$61</definedName>
    <definedName name="MComp">'ورودی ها'!$D$64</definedName>
    <definedName name="Mcomp." localSheetId="4">'[1]محاسبات  سیم بکسل'!$C$19</definedName>
    <definedName name="Mcr" localSheetId="4">'[1]ورودی ها'!$D$59</definedName>
    <definedName name="mcr">'ورودی ها'!$D$62</definedName>
    <definedName name="Mcr." localSheetId="4">'[1]محاسبات  سیم بکسل'!$C$16</definedName>
    <definedName name="MCRcar">'محاسبات  سیم بکسل'!$C$68</definedName>
    <definedName name="MCRcar1" localSheetId="4">'[1]محاسبات  سیم بکسل'!$C$58</definedName>
    <definedName name="MCRcar2" localSheetId="4">'[1]محاسبات  سیم بکسل'!$C$72</definedName>
    <definedName name="MCRcar3" localSheetId="4">'[1]محاسبات  سیم بکسل'!$C$86</definedName>
    <definedName name="MCRcar4" localSheetId="4">'[1]محاسبات  سیم بکسل'!$C$100</definedName>
    <definedName name="MCRcwt">'محاسبات  سیم بکسل'!$C$60</definedName>
    <definedName name="MCRcwt1" localSheetId="4">'[1]محاسبات  سیم بکسل'!$C$59</definedName>
    <definedName name="MCRcwt2" localSheetId="4">'[1]محاسبات  سیم بکسل'!$C$73</definedName>
    <definedName name="MCRcwt3" localSheetId="4">'[1]محاسبات  سیم بکسل'!$C$87</definedName>
    <definedName name="Mcwt" localSheetId="4">'[1]محاسبات  سیم بکسل'!$C$18</definedName>
    <definedName name="Mcwt">'محاسبات  سیم بکسل'!$C$18</definedName>
    <definedName name="mDPcar" localSheetId="4">'[1]محاسبات  سیم بکسل'!$C$6</definedName>
    <definedName name="mDPcar">'محاسبات  سیم بکسل'!$C$6</definedName>
    <definedName name="mDPcwt" localSheetId="4">'[1]محاسبات  سیم بکسل'!$C$7</definedName>
    <definedName name="mDPcwt">'محاسبات  سیم بکسل'!$C$7</definedName>
    <definedName name="Mgb" localSheetId="4">'[1]ورودی ها'!$D$21</definedName>
    <definedName name="Mgb">'ورودی ها'!$D$22</definedName>
    <definedName name="Min_Car_Area" localSheetId="4">'[1]مساحت کابین &amp; Neq(t)'!$E$4:$F$23</definedName>
    <definedName name="Min_Car_Area">'مساحت کابین &amp; Neq(t)'!$E$4:$F$23</definedName>
    <definedName name="Motor_type">'ورودی ها'!$D$19</definedName>
    <definedName name="mPcar" localSheetId="4">'[1]محاسبات  سیم بکسل'!$C$8</definedName>
    <definedName name="mPcar">'محاسبات  سیم بکسل'!$C$8</definedName>
    <definedName name="mPcwt" localSheetId="4">'[1]محاسبات  سیم بکسل'!$C$9</definedName>
    <definedName name="mPcwt">'محاسبات  سیم بکسل'!$C$9</definedName>
    <definedName name="mPTD" localSheetId="4">'[1]ورودی ها'!$D$60</definedName>
    <definedName name="mPTD">'ورودی ها'!$D$63</definedName>
    <definedName name="mPTD." localSheetId="4">'[1]محاسبات  سیم بکسل'!$C$10</definedName>
    <definedName name="mPTD.">'محاسبات  سیم بکسل'!$C$10</definedName>
    <definedName name="Msr" localSheetId="4">'[1]محاسبات  سیم بکسل'!$C$14</definedName>
    <definedName name="msr">'محاسبات  سیم بکسل'!$C$14</definedName>
    <definedName name="MSRcar">'محاسبات  سیم بکسل'!$C$59</definedName>
    <definedName name="MSRcar1" localSheetId="4">'[1]محاسبات  سیم بکسل'!$C$56</definedName>
    <definedName name="MSRcar2" localSheetId="4">'[1]محاسبات  سیم بکسل'!$C$70</definedName>
    <definedName name="MSRcar3" localSheetId="4">'[1]محاسبات  سیم بکسل'!$C$84</definedName>
    <definedName name="MSRcar4" localSheetId="4">'[1]محاسبات  سیم بکسل'!$C$98</definedName>
    <definedName name="MSRcwt">'محاسبات  سیم بکسل'!$C$67</definedName>
    <definedName name="MSRcwt1" localSheetId="4">'[1]محاسبات  سیم بکسل'!$C$57</definedName>
    <definedName name="MSRcwt2" localSheetId="4">'[1]محاسبات  سیم بکسل'!$C$71</definedName>
    <definedName name="MSRcwt3" localSheetId="4">'[1]محاسبات  سیم بکسل'!$C$85</definedName>
    <definedName name="MSRcwt4" localSheetId="4">'[1]محاسبات  سیم بکسل'!$C$99</definedName>
    <definedName name="Mt" localSheetId="4">'[1]ورودی ها'!$D$56</definedName>
    <definedName name="mt">'ورودی ها'!$D$59</definedName>
    <definedName name="MTrav">'محاسبات  سیم بکسل'!$C$69</definedName>
    <definedName name="MTrav1" localSheetId="4">'[1]محاسبات  سیم بکسل'!$C$60</definedName>
    <definedName name="MTrav2" localSheetId="4">'[1]محاسبات  سیم بکسل'!$C$74</definedName>
    <definedName name="Mtrav3" localSheetId="4">'[1]محاسبات  سیم بکسل'!$C$88</definedName>
    <definedName name="MTrav4" localSheetId="4">'[1]محاسبات  سیم بکسل'!$C$102</definedName>
    <definedName name="n" localSheetId="4">'[1]ورودی ها'!$D$39</definedName>
    <definedName name="n">'ورودی ها'!$D$42</definedName>
    <definedName name="nc" localSheetId="4">'[1]ورودی ها'!$D$58</definedName>
    <definedName name="nc">'ورودی ها'!$D$61</definedName>
    <definedName name="nc." localSheetId="4">'[1]محاسبات  سیم بکسل'!$C$12</definedName>
    <definedName name="nc.">'محاسبات  سیم بکسل'!$C$12</definedName>
    <definedName name="Neq" localSheetId="4">'[1]محاسبات  سیم بکسل'!$C$119</definedName>
    <definedName name="Neq">'محاسبات  سیم بکسل'!$C$147</definedName>
    <definedName name="Neqp" localSheetId="4">'[1]محاسبات  سیم بکسل'!$C$118</definedName>
    <definedName name="Neqp">'محاسبات  سیم بکسل'!$C$146</definedName>
    <definedName name="Neqt" localSheetId="4">'[1]محاسبات  سیم بکسل'!$C$117</definedName>
    <definedName name="Neqt">'محاسبات  سیم بکسل'!$C$145</definedName>
    <definedName name="Npr" localSheetId="4">'[1]ورودی ها'!$D$66</definedName>
    <definedName name="Npr">'ورودی ها'!$D$69</definedName>
    <definedName name="Nps" localSheetId="4">'[1]محاسبات  سیم بکسل'!$C$114</definedName>
    <definedName name="Nps">'محاسبات  سیم بکسل'!$C$142</definedName>
    <definedName name="nS" localSheetId="4">'[1]ورودی ها'!$D$53</definedName>
    <definedName name="nS">'ورودی ها'!$D$56</definedName>
    <definedName name="nt" localSheetId="4">'[1]ورودی ها'!$D$55</definedName>
    <definedName name="nt">'ورودی ها'!$D$58</definedName>
    <definedName name="OH">'ورودی ها'!$D$15</definedName>
    <definedName name="P" localSheetId="4">'[1]ورودی ها'!$D$34</definedName>
    <definedName name="P">'ورودی ها'!$D$36</definedName>
    <definedName name="Passengers_No." localSheetId="4">'[1]ورودی ها'!$D$7</definedName>
    <definedName name="Passengers_No.">'ورودی ها'!$D$7</definedName>
    <definedName name="Pit">'ورودی ها'!$D$16</definedName>
    <definedName name="_xlnm.Print_Area" localSheetId="1">'محاسبات  ریل'!$A$1:$D$128</definedName>
    <definedName name="_xlnm.Print_Area" localSheetId="2">'محاسبات  سیم بکسل'!$A$1:$D$150</definedName>
    <definedName name="_xlnm.Print_Area" localSheetId="3">'محاسبات دیگر '!$A$1:$D$38</definedName>
    <definedName name="_xlnm.Print_Area" localSheetId="0">'ورودی ها'!$A$1:$E$75</definedName>
    <definedName name="PulleyReducedMass" localSheetId="4">'[1]فلکه هرزگرد'!$B$3:$N$13</definedName>
    <definedName name="PulleyReducedMass">'فلکه هرزگرد'!$B$3:$O$13</definedName>
    <definedName name="Q" localSheetId="4">'[1]ورودی ها'!$D$8</definedName>
    <definedName name="Q">'ورودی ها'!$D$8</definedName>
    <definedName name="q." localSheetId="4">'[1]ورودی ها'!$D$40</definedName>
    <definedName name="q.">'ورودی ها'!$D$43</definedName>
    <definedName name="Q1." localSheetId="4">'[1]محاسبات  سیم بکسل'!$C$55</definedName>
    <definedName name="Q1.">'محاسبات  سیم بکسل'!$C$56</definedName>
    <definedName name="Q2.">'محاسبات  سیم بکسل'!$C$77</definedName>
    <definedName name="Q3." localSheetId="4">'[1]محاسبات  سیم بکسل'!$C$83</definedName>
    <definedName name="Q3.">'محاسبات  سیم بکسل'!$C$98</definedName>
    <definedName name="Q4." localSheetId="4">'[1]محاسبات  سیم بکسل'!$C$97</definedName>
    <definedName name="qm" localSheetId="4">'[1]محاسبات دیگر '!$C$25</definedName>
    <definedName name="qm">'محاسبات دیگر '!$C$26</definedName>
    <definedName name="r." localSheetId="4">'[1]ورودی ها'!$D$54</definedName>
    <definedName name="r.">'ورودی ها'!$D$57</definedName>
    <definedName name="RDB" localSheetId="4">'[1]ورودی ها'!$D$28</definedName>
    <definedName name="RDB">'ورودی ها'!$D$29</definedName>
    <definedName name="Rope" localSheetId="4">'[1]ورودی ها'!$F$51</definedName>
    <definedName name="Rope">'ورودی ها'!$F$54</definedName>
    <definedName name="Rope_Brand" localSheetId="4">'[1]ورودی ها'!$E$51</definedName>
    <definedName name="Rope_Brand">'ورودی ها'!$E$54</definedName>
    <definedName name="Rope_Data_Table" localSheetId="4">'[1]جدول مشخصات سیم بکسل'!$A$7:$W$14</definedName>
    <definedName name="Rope_Data_Table">'جدول مشخصات سیم بکسل'!$A$7:$W$14</definedName>
    <definedName name="Rope_Type" localSheetId="4">'[1]ورودی ها'!$D$51</definedName>
    <definedName name="Rope_Type">'ورودی ها'!$C$54</definedName>
    <definedName name="Rope_Type_Table" localSheetId="4">'[1]جدول مشخصات سیم بکسل'!$B$22:$D$37</definedName>
    <definedName name="Rope_Type_Table">'جدول مشخصات سیم بکسل'!$B$22:$D$37</definedName>
    <definedName name="Safety_gear_Type" localSheetId="4">'[1]ورودی ها'!$D$33</definedName>
    <definedName name="Safety_gear_Type">'ورودی ها'!$D$35</definedName>
    <definedName name="Sf_cur" localSheetId="4">'[1]محاسبات  سیم بکسل'!$C$122</definedName>
    <definedName name="Sf_cur">'محاسبات  سیم بکسل'!$C$150</definedName>
    <definedName name="Sf_min" localSheetId="4">'[1]محاسبات  سیم بکسل'!$C$120</definedName>
    <definedName name="Sf_min">'محاسبات  سیم بکسل'!$C$148</definedName>
    <definedName name="Stops" localSheetId="4">'[1]ورودی ها'!$D$9</definedName>
    <definedName name="Stops">'ورودی ها'!$D$9</definedName>
    <definedName name="VCar" localSheetId="4">'[1]ورودی ها'!$D$11</definedName>
    <definedName name="VCar">'ورودی ها'!$D$11</definedName>
    <definedName name="Vsr" localSheetId="4">'[1]محاسبات  سیم بکسل'!$C$44</definedName>
    <definedName name="Vsr">'محاسبات  سیم بکسل'!$C$46</definedName>
    <definedName name="W" localSheetId="4">'[1]محاسبات  ریل'!$C$28</definedName>
    <definedName name="W">'محاسبات  ریل'!$C$28</definedName>
    <definedName name="Wout" localSheetId="4">'[1]ورودی ها'!$D$20</definedName>
    <definedName name="Wout">'ورودی ها'!$D$20</definedName>
    <definedName name="Wr">'ورودی ها'!$D$30</definedName>
    <definedName name="Wrap">'ورودی ها'!$D$30</definedName>
    <definedName name="WX" localSheetId="1">'محاسبات  ریل'!$C$32</definedName>
    <definedName name="Wxx" localSheetId="1">'محاسبات  ریل'!$C$32</definedName>
    <definedName name="WY" localSheetId="1">'محاسبات  ریل'!$C$33</definedName>
    <definedName name="Wyy" localSheetId="1">'محاسبات  ریل'!$C$33</definedName>
    <definedName name="XC" localSheetId="4">'[1]ورودی ها'!$D$42</definedName>
    <definedName name="XC">'ورودی ها'!$D$45</definedName>
    <definedName name="Xi" localSheetId="4">'[1]ورودی ها'!$D$48</definedName>
    <definedName name="Xi">'ورودی ها'!$D$51</definedName>
    <definedName name="XP" localSheetId="4">'[1]ورودی ها'!$D$44</definedName>
    <definedName name="XP">'ورودی ها'!$D$47</definedName>
    <definedName name="XS" localSheetId="4">'[1]ورودی ها'!$D$46</definedName>
    <definedName name="XS">'ورودی ها'!$D$49</definedName>
    <definedName name="y1." localSheetId="4">'[1]محاسبات  سیم بکسل'!$C$54</definedName>
    <definedName name="y1.">'محاسبات  سیم بکسل'!$C$58</definedName>
    <definedName name="y2." localSheetId="4">'[1]محاسبات  سیم بکسل'!$C$68</definedName>
    <definedName name="y2.">'محاسبات  سیم بکسل'!$C$66</definedName>
    <definedName name="y3." localSheetId="4">'[1]محاسبات  سیم بکسل'!$C$82</definedName>
    <definedName name="y4." localSheetId="4">'[1]محاسبات  سیم بکسل'!$C$96</definedName>
    <definedName name="y4.">'محاسبات  سیم بکسل'!$C$128</definedName>
    <definedName name="YC" localSheetId="4">'[1]ورودی ها'!$D$43</definedName>
    <definedName name="YC">'ورودی ها'!$D$46</definedName>
    <definedName name="Yi" localSheetId="4">'[1]ورودی ها'!$D$49</definedName>
    <definedName name="Yi">'ورودی ها'!$D$52</definedName>
    <definedName name="YP" localSheetId="4">'[1]ورودی ها'!$D$45</definedName>
    <definedName name="YP">'ورودی ها'!$D$48</definedName>
    <definedName name="YS" localSheetId="4">'[1]ورودی ها'!$D$47</definedName>
    <definedName name="YS">'ورودی ها'!$D$50</definedName>
    <definedName name="Z_0B2838C1_64E2_4766_B82E_FE301CB42C7D_.wvu.PrintArea" localSheetId="1" hidden="1">'محاسبات  ریل'!$A$1:$D$128</definedName>
    <definedName name="Z_0B2838C1_64E2_4766_B82E_FE301CB42C7D_.wvu.PrintArea" localSheetId="2" hidden="1">'محاسبات  سیم بکسل'!$A$1:$D$150</definedName>
    <definedName name="α" localSheetId="4">'[1]محاسبات  سیم بکسل'!$C$40</definedName>
    <definedName name="α">'محاسبات  سیم بکسل'!$C$42</definedName>
    <definedName name="α." localSheetId="4">'[1]ورودی ها'!$D$30</definedName>
    <definedName name="α.">'ورودی ها'!$D$32</definedName>
    <definedName name="β" localSheetId="4">'[1]ورودی ها'!$D$26</definedName>
    <definedName name="β">'ورودی ها'!$D$27</definedName>
    <definedName name="β." localSheetId="2">'محاسبات  سیم بکسل'!$C$45</definedName>
    <definedName name="γ" localSheetId="4">'[1]ورودی ها'!$D$23</definedName>
    <definedName name="γ">'ورودی ها'!$D$24</definedName>
    <definedName name="γ." localSheetId="2">'محاسبات  سیم بکسل'!$C$44</definedName>
    <definedName name="ηG" localSheetId="4">'[1]ورودی ها'!$D$27</definedName>
    <definedName name="ηG">'ورودی ها'!$D$28</definedName>
    <definedName name="ηs" localSheetId="4">'[1]محاسبات دیگر '!$C$20</definedName>
    <definedName name="ηs">'محاسبات دیگر '!$C$20</definedName>
    <definedName name="ηSP" localSheetId="4">'[1]محاسبات دیگر '!$C$21</definedName>
    <definedName name="ηSP">'محاسبات دیگر '!$C$21</definedName>
    <definedName name="σk" localSheetId="1">'محاسبات  ریل'!$C$41</definedName>
    <definedName name="ω" localSheetId="1">'محاسبات  ریل'!$C$36</definedName>
  </definedNames>
  <calcPr calcId="144525"/>
  <customWorkbookViews>
    <customWorkbookView name="Hariri - Personal View" guid="{0B2838C1-64E2-4766-B82E-FE301CB42C7D}" mergeInterval="0" personalView="1" maximized="1" windowWidth="1436" windowHeight="663" tabRatio="661" activeSheetId="1"/>
  </customWorkbookViews>
</workbook>
</file>

<file path=xl/calcChain.xml><?xml version="1.0" encoding="utf-8"?>
<calcChain xmlns="http://schemas.openxmlformats.org/spreadsheetml/2006/main">
  <c r="F73" i="1" l="1"/>
  <c r="F72" i="1"/>
  <c r="C142" i="3"/>
  <c r="C143" i="3" s="1"/>
  <c r="C132" i="3" l="1"/>
  <c r="C131" i="3"/>
  <c r="C128" i="3"/>
  <c r="C119" i="3"/>
  <c r="C145" i="3"/>
  <c r="F32" i="1"/>
  <c r="E30" i="1"/>
  <c r="F75" i="1"/>
  <c r="F74" i="1"/>
  <c r="C144" i="3" l="1"/>
  <c r="C35" i="4"/>
  <c r="F34" i="1" l="1"/>
  <c r="E34" i="1" s="1"/>
  <c r="K5" i="8" l="1"/>
  <c r="K6" i="8"/>
  <c r="K7" i="8"/>
  <c r="K8" i="8"/>
  <c r="K9" i="8"/>
  <c r="K10" i="8"/>
  <c r="K11" i="8"/>
  <c r="K12" i="8"/>
  <c r="K13" i="8"/>
  <c r="K4" i="8"/>
  <c r="L4" i="8"/>
  <c r="C54" i="1" l="1"/>
  <c r="C33" i="3" l="1"/>
  <c r="C32" i="3"/>
  <c r="C98" i="3" l="1"/>
  <c r="C77" i="3"/>
  <c r="C97" i="3"/>
  <c r="C66" i="3"/>
  <c r="C17" i="3"/>
  <c r="C58" i="3"/>
  <c r="C100" i="3" s="1"/>
  <c r="C101" i="2"/>
  <c r="C98" i="2"/>
  <c r="C84" i="2"/>
  <c r="C81" i="2"/>
  <c r="C69" i="3" l="1"/>
  <c r="C122" i="3"/>
  <c r="C108" i="3"/>
  <c r="C111" i="3"/>
  <c r="C87" i="3"/>
  <c r="C79" i="3"/>
  <c r="C90" i="3"/>
  <c r="A47" i="2" l="1"/>
  <c r="F5" i="8" l="1"/>
  <c r="F6" i="8"/>
  <c r="F7" i="8"/>
  <c r="F8" i="8"/>
  <c r="F9" i="8"/>
  <c r="F10" i="8"/>
  <c r="F11" i="8"/>
  <c r="F12" i="8"/>
  <c r="F13" i="8"/>
  <c r="F4" i="8"/>
  <c r="H5" i="8"/>
  <c r="H6" i="8"/>
  <c r="H7" i="8"/>
  <c r="H8" i="8"/>
  <c r="H9" i="8"/>
  <c r="H10" i="8"/>
  <c r="H11" i="8"/>
  <c r="H12" i="8"/>
  <c r="H13" i="8"/>
  <c r="H4" i="8"/>
  <c r="L5" i="8"/>
  <c r="L6" i="8"/>
  <c r="L7" i="8"/>
  <c r="L8" i="8"/>
  <c r="L9" i="8"/>
  <c r="L10" i="8"/>
  <c r="L11" i="8"/>
  <c r="L12" i="8"/>
  <c r="L13" i="8"/>
  <c r="C9" i="3"/>
  <c r="C8" i="3"/>
  <c r="C7" i="3"/>
  <c r="C6" i="3"/>
  <c r="C20" i="4"/>
  <c r="F25" i="1"/>
  <c r="F55" i="1"/>
  <c r="C4" i="3"/>
  <c r="F54" i="1"/>
  <c r="E54" i="1"/>
  <c r="C14" i="3" s="1"/>
  <c r="C120" i="3" l="1"/>
  <c r="C129" i="3"/>
  <c r="M10" i="8"/>
  <c r="N10" i="8" s="1"/>
  <c r="O10" i="8" s="1"/>
  <c r="M8" i="8"/>
  <c r="N8" i="8" s="1"/>
  <c r="O8" i="8" s="1"/>
  <c r="M6" i="8"/>
  <c r="N6" i="8" s="1"/>
  <c r="O6" i="8" s="1"/>
  <c r="M12" i="8"/>
  <c r="N12" i="8" s="1"/>
  <c r="O12" i="8" s="1"/>
  <c r="M13" i="8"/>
  <c r="N13" i="8" s="1"/>
  <c r="O13" i="8" s="1"/>
  <c r="M9" i="8"/>
  <c r="N9" i="8" s="1"/>
  <c r="O9" i="8" s="1"/>
  <c r="M5" i="8"/>
  <c r="N5" i="8" s="1"/>
  <c r="O5" i="8" s="1"/>
  <c r="M4" i="8"/>
  <c r="N4" i="8" s="1"/>
  <c r="O4" i="8" s="1"/>
  <c r="M11" i="8"/>
  <c r="N11" i="8" s="1"/>
  <c r="O11" i="8" s="1"/>
  <c r="M7" i="8"/>
  <c r="N7" i="8" s="1"/>
  <c r="O7" i="8" s="1"/>
  <c r="C101" i="3"/>
  <c r="C109" i="3"/>
  <c r="C80" i="3"/>
  <c r="C88" i="3"/>
  <c r="C59" i="3"/>
  <c r="C149" i="3" s="1"/>
  <c r="C67" i="3"/>
  <c r="C15" i="3"/>
  <c r="D4" i="3"/>
  <c r="C124" i="3" l="1"/>
  <c r="C103" i="3"/>
  <c r="C137" i="3" l="1"/>
  <c r="C37" i="3"/>
  <c r="F24" i="1"/>
  <c r="D42" i="3" l="1"/>
  <c r="D52" i="3"/>
  <c r="D51" i="3"/>
  <c r="D50" i="3"/>
  <c r="C4" i="2" l="1"/>
  <c r="D60" i="1" l="1"/>
  <c r="C40" i="3" l="1"/>
  <c r="C42" i="3" s="1"/>
  <c r="C41" i="3" l="1"/>
  <c r="C31" i="3" l="1"/>
  <c r="C30" i="3"/>
  <c r="C27" i="3" l="1"/>
  <c r="C13" i="3"/>
  <c r="C38" i="4" l="1"/>
  <c r="I22" i="7"/>
  <c r="C37" i="4"/>
  <c r="C27" i="2"/>
  <c r="C19" i="3" l="1"/>
  <c r="C16" i="3"/>
  <c r="C12" i="3"/>
  <c r="C130" i="3" s="1"/>
  <c r="C10" i="3"/>
  <c r="F62" i="1" l="1"/>
  <c r="C121" i="3"/>
  <c r="C110" i="3"/>
  <c r="C102" i="3"/>
  <c r="C81" i="3"/>
  <c r="C89" i="3"/>
  <c r="C60" i="3"/>
  <c r="C68" i="3"/>
  <c r="C123" i="3" s="1"/>
  <c r="C126" i="3" s="1"/>
  <c r="C92" i="3" l="1"/>
  <c r="C112" i="3"/>
  <c r="F8" i="1"/>
  <c r="F23" i="1"/>
  <c r="C22" i="4" l="1"/>
  <c r="C16" i="4"/>
  <c r="C15" i="4"/>
  <c r="C26" i="3" l="1"/>
  <c r="C39" i="3"/>
  <c r="C5" i="4" l="1"/>
  <c r="C141" i="3" l="1"/>
  <c r="C140" i="3"/>
  <c r="C139" i="3"/>
  <c r="C138" i="3"/>
  <c r="C146" i="3"/>
  <c r="C147" i="3" l="1"/>
  <c r="C148" i="3" s="1"/>
  <c r="M16" i="5"/>
  <c r="M13" i="5"/>
  <c r="M15" i="5"/>
  <c r="M14" i="5"/>
  <c r="M12" i="5"/>
  <c r="M11" i="5"/>
  <c r="M10" i="5"/>
  <c r="M9" i="5"/>
  <c r="M8" i="5"/>
  <c r="M7" i="5"/>
  <c r="M6" i="5"/>
  <c r="M5" i="5"/>
  <c r="M4" i="5"/>
  <c r="C34" i="4"/>
  <c r="C33" i="4"/>
  <c r="C13" i="4"/>
  <c r="C12" i="4"/>
  <c r="C8" i="4"/>
  <c r="C7" i="4"/>
  <c r="C6" i="4"/>
  <c r="C4" i="4"/>
  <c r="C3" i="4"/>
  <c r="C76" i="3"/>
  <c r="C56" i="3"/>
  <c r="C46" i="3"/>
  <c r="C45" i="3"/>
  <c r="C38" i="3" s="1"/>
  <c r="C44" i="3"/>
  <c r="C43" i="3"/>
  <c r="C34" i="3"/>
  <c r="C29" i="3"/>
  <c r="C28" i="3"/>
  <c r="C24" i="3"/>
  <c r="C23" i="3"/>
  <c r="C22" i="3"/>
  <c r="C21" i="3"/>
  <c r="C20" i="3"/>
  <c r="C18" i="3"/>
  <c r="C11" i="3"/>
  <c r="C5" i="3"/>
  <c r="C99" i="2"/>
  <c r="C34" i="2"/>
  <c r="C35" i="2" s="1"/>
  <c r="C36" i="2" s="1"/>
  <c r="C33" i="2"/>
  <c r="C32" i="2"/>
  <c r="C31" i="2"/>
  <c r="C30" i="2"/>
  <c r="C29" i="2"/>
  <c r="C28" i="2"/>
  <c r="D26" i="2"/>
  <c r="C26" i="2"/>
  <c r="C24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E13" i="1"/>
  <c r="C26" i="4" l="1"/>
  <c r="C24" i="4"/>
  <c r="D25" i="4" s="1"/>
  <c r="C47" i="2"/>
  <c r="C58" i="2" s="1"/>
  <c r="C65" i="2"/>
  <c r="C76" i="2" s="1"/>
  <c r="A76" i="2" s="1"/>
  <c r="C83" i="3"/>
  <c r="C104" i="3"/>
  <c r="C106" i="3" s="1"/>
  <c r="C113" i="3"/>
  <c r="C115" i="3" s="1"/>
  <c r="C91" i="3"/>
  <c r="C82" i="3"/>
  <c r="C62" i="3"/>
  <c r="C71" i="3"/>
  <c r="C61" i="3"/>
  <c r="C70" i="3"/>
  <c r="C50" i="3"/>
  <c r="C52" i="3"/>
  <c r="C48" i="3"/>
  <c r="C51" i="3" s="1"/>
  <c r="C23" i="4"/>
  <c r="C102" i="2"/>
  <c r="C103" i="2" s="1"/>
  <c r="C111" i="2"/>
  <c r="C115" i="2"/>
  <c r="C116" i="2" s="1"/>
  <c r="C117" i="2" s="1"/>
  <c r="C118" i="2"/>
  <c r="C128" i="2" s="1"/>
  <c r="C85" i="2"/>
  <c r="C86" i="2" s="1"/>
  <c r="C94" i="2"/>
  <c r="C110" i="2"/>
  <c r="A110" i="2" s="1"/>
  <c r="C40" i="2"/>
  <c r="C41" i="2" s="1"/>
  <c r="C93" i="2"/>
  <c r="A93" i="2" s="1"/>
  <c r="C44" i="2"/>
  <c r="C57" i="2" s="1"/>
  <c r="A57" i="2" s="1"/>
  <c r="C62" i="2"/>
  <c r="C100" i="2"/>
  <c r="C36" i="4"/>
  <c r="D37" i="4" s="1"/>
  <c r="C91" i="2"/>
  <c r="A91" i="2" s="1"/>
  <c r="C108" i="2"/>
  <c r="A108" i="2" s="1"/>
  <c r="C82" i="2"/>
  <c r="C83" i="2" s="1"/>
  <c r="C133" i="3" l="1"/>
  <c r="A134" i="3" s="1"/>
  <c r="C125" i="3"/>
  <c r="A126" i="3" s="1"/>
  <c r="C93" i="3"/>
  <c r="C114" i="3"/>
  <c r="A115" i="3" s="1"/>
  <c r="C105" i="3"/>
  <c r="C134" i="3"/>
  <c r="C72" i="3"/>
  <c r="C63" i="3"/>
  <c r="C64" i="3"/>
  <c r="C48" i="2"/>
  <c r="C49" i="2" s="1"/>
  <c r="C127" i="2"/>
  <c r="A127" i="2" s="1"/>
  <c r="C125" i="2"/>
  <c r="A125" i="2" s="1"/>
  <c r="C66" i="2"/>
  <c r="C67" i="2" s="1"/>
  <c r="A94" i="2"/>
  <c r="A58" i="2"/>
  <c r="A111" i="2"/>
  <c r="C119" i="2"/>
  <c r="C120" i="2" s="1"/>
  <c r="C122" i="2" s="1"/>
  <c r="D38" i="4"/>
  <c r="C55" i="2"/>
  <c r="A55" i="2" s="1"/>
  <c r="C88" i="2"/>
  <c r="C89" i="2" s="1"/>
  <c r="A89" i="2" s="1"/>
  <c r="C63" i="2"/>
  <c r="C64" i="2" s="1"/>
  <c r="C75" i="2"/>
  <c r="A75" i="2" s="1"/>
  <c r="C45" i="2"/>
  <c r="C46" i="2" s="1"/>
  <c r="C105" i="2"/>
  <c r="C73" i="2"/>
  <c r="A73" i="2" s="1"/>
  <c r="C17" i="4"/>
  <c r="C84" i="3"/>
  <c r="A128" i="2"/>
  <c r="C123" i="2" l="1"/>
  <c r="A123" i="2" s="1"/>
  <c r="A122" i="2"/>
  <c r="C106" i="2"/>
  <c r="A106" i="2" s="1"/>
  <c r="A105" i="2"/>
  <c r="A106" i="3"/>
  <c r="C94" i="3"/>
  <c r="A94" i="3" s="1"/>
  <c r="A64" i="3"/>
  <c r="C51" i="2"/>
  <c r="C69" i="2"/>
  <c r="C73" i="3"/>
  <c r="A73" i="3" s="1"/>
  <c r="A88" i="2"/>
  <c r="C52" i="2" l="1"/>
  <c r="A52" i="2" s="1"/>
  <c r="A51" i="2"/>
  <c r="C70" i="2"/>
  <c r="A70" i="2" s="1"/>
  <c r="C53" i="2"/>
  <c r="A53" i="2" s="1"/>
  <c r="C71" i="2"/>
  <c r="A71" i="2" s="1"/>
  <c r="A69" i="2"/>
  <c r="C150" i="3" l="1"/>
  <c r="D150" i="3" s="1"/>
  <c r="C85" i="3"/>
  <c r="A85" i="3" s="1"/>
  <c r="C21" i="4"/>
  <c r="C29" i="4" l="1"/>
  <c r="D30" i="4" s="1"/>
  <c r="C27" i="4"/>
  <c r="D28" i="4" s="1"/>
</calcChain>
</file>

<file path=xl/sharedStrings.xml><?xml version="1.0" encoding="utf-8"?>
<sst xmlns="http://schemas.openxmlformats.org/spreadsheetml/2006/main" count="1138" uniqueCount="573">
  <si>
    <t>مشخصات پروژه</t>
  </si>
  <si>
    <t>شرح</t>
  </si>
  <si>
    <t>واحد</t>
  </si>
  <si>
    <t>مقدار</t>
  </si>
  <si>
    <t xml:space="preserve">پارامتر </t>
  </si>
  <si>
    <t>شماره پرونده</t>
  </si>
  <si>
    <t>نام شرکت بازرسی</t>
  </si>
  <si>
    <t>ظرفيت مسافر</t>
  </si>
  <si>
    <t>نفر</t>
  </si>
  <si>
    <t>تعداد طبقات</t>
  </si>
  <si>
    <t>سرعت نامی کابین آسانسور</t>
  </si>
  <si>
    <t>m/s</t>
  </si>
  <si>
    <t>cm</t>
  </si>
  <si>
    <t>OH =</t>
  </si>
  <si>
    <t>عمق چاهك</t>
  </si>
  <si>
    <t>Pit =</t>
  </si>
  <si>
    <t>RDB =</t>
  </si>
  <si>
    <t>مشحصات موتور و فلکه کشش</t>
  </si>
  <si>
    <t>نوع موتور</t>
  </si>
  <si>
    <t>Motor Type</t>
  </si>
  <si>
    <t>kw</t>
  </si>
  <si>
    <t>قطر فلكه کششی موتور</t>
  </si>
  <si>
    <t>mm</t>
  </si>
  <si>
    <t>نوع شیار فلکه کشش</t>
  </si>
  <si>
    <t>سخت کاری</t>
  </si>
  <si>
    <t>زاويه شیار</t>
  </si>
  <si>
    <t>درجه</t>
  </si>
  <si>
    <t>زاويه زیر برش</t>
  </si>
  <si>
    <t>راندمان گيربكس</t>
  </si>
  <si>
    <t>نوع ریل راهنما</t>
  </si>
  <si>
    <t>نوع ترمز ايمني</t>
  </si>
  <si>
    <t>جرم کابین خالی و اجزائی که به آن متکی هستند</t>
  </si>
  <si>
    <t>Kg</t>
  </si>
  <si>
    <t>P =</t>
  </si>
  <si>
    <t>Q =</t>
  </si>
  <si>
    <t>عمق کابین</t>
  </si>
  <si>
    <t>عرض کابین</t>
  </si>
  <si>
    <t xml:space="preserve">بیشترین فاصله بین دو براکت </t>
  </si>
  <si>
    <t>l =</t>
  </si>
  <si>
    <t>فاصله بین کفشکهای کابین</t>
  </si>
  <si>
    <t>h =</t>
  </si>
  <si>
    <t>تعداد ریل</t>
  </si>
  <si>
    <t>n =</t>
  </si>
  <si>
    <t>ضریب تعادل وزنه (بالانس)</t>
  </si>
  <si>
    <t>q =</t>
  </si>
  <si>
    <t>N</t>
  </si>
  <si>
    <t>M =</t>
  </si>
  <si>
    <t>فاصله مرکز کابین نسبت به ریل راهنما در جهت X</t>
  </si>
  <si>
    <t>فاصله مرکز کابین نسبت به ریل راهنما در جهت Y</t>
  </si>
  <si>
    <t>فاصله مرکز جرم کاببن  از ریل راهنما در جهت X</t>
  </si>
  <si>
    <t>فاصله مرکز جرم کابین  از ریل راهنما در جهت Y</t>
  </si>
  <si>
    <t>فاصله مرکز آویز نسبت به ریل راهنما در جهت X</t>
  </si>
  <si>
    <t>فاصله مرکزآویز  نسبت به ریل راهنما در جهت Y</t>
  </si>
  <si>
    <t>فاصله در کابین سبت به ریل راهنما در جهت X</t>
  </si>
  <si>
    <t>فاصله در کابین سبت به ریل راهنما در جهت Y</t>
  </si>
  <si>
    <t>نوع سيم بكسل</t>
  </si>
  <si>
    <t>PAWO F7 S</t>
  </si>
  <si>
    <t>قطرسيم بكسل</t>
  </si>
  <si>
    <t>kg</t>
  </si>
  <si>
    <t xml:space="preserve">جرم کاهش‌یافته فلکه کشش طناب جبران </t>
  </si>
  <si>
    <t>جرم کاهش‌یافته فلکه فاصله انداز سمت کابین</t>
  </si>
  <si>
    <t>تعداد طناب های تعلیق (سیم بکسل ها)</t>
  </si>
  <si>
    <t>عدد</t>
  </si>
  <si>
    <t xml:space="preserve">تعداد طناب ها/زنجیر جبران </t>
  </si>
  <si>
    <t>تعداد کابل متحرک (تراول کابل)</t>
  </si>
  <si>
    <t>جرم واحد طول طناب تعلیق (سیم بکسل)</t>
  </si>
  <si>
    <t>جرم واحد طول طناب/زنجیر جبران</t>
  </si>
  <si>
    <t>جرم واحد طول کابل متحرک (تراول کابل)</t>
  </si>
  <si>
    <t>جرم وسیله تأمین کشش شامل جرم فلکه‌ها</t>
  </si>
  <si>
    <t>نیروی اصطکاک در چاه سمت کابین</t>
  </si>
  <si>
    <t>نیروی اصطکاک در چاه سمت وزنه تعادل</t>
  </si>
  <si>
    <t>m</t>
  </si>
  <si>
    <t>H =</t>
  </si>
  <si>
    <t>ضریب طناب بندی</t>
  </si>
  <si>
    <t>r =</t>
  </si>
  <si>
    <t>شتاب ناشی از ترمز کابین</t>
  </si>
  <si>
    <t>a =</t>
  </si>
  <si>
    <t>میانگین قطر همه فلكه های هرز گرد</t>
  </si>
  <si>
    <t>تعداد فلکه ها با خم معکوس</t>
  </si>
  <si>
    <t>تعداد فلکه ها با خم ساده</t>
  </si>
  <si>
    <t>داده ها</t>
  </si>
  <si>
    <t>بار نامی</t>
  </si>
  <si>
    <t>-</t>
  </si>
  <si>
    <t>ضریب ضربه در حالت حرکت</t>
  </si>
  <si>
    <t>ضریب ضربه قطعات کمکی</t>
  </si>
  <si>
    <t>مدول کشسانی</t>
  </si>
  <si>
    <t>نیروی روی درگاه</t>
  </si>
  <si>
    <t xml:space="preserve">N </t>
  </si>
  <si>
    <t>شتاب جاذبه زمین</t>
  </si>
  <si>
    <t>نوع ریل راهنمای کابین</t>
  </si>
  <si>
    <t>عرض قسمت اتصال دهنده پایه به تیغه ریل</t>
  </si>
  <si>
    <t>ممان دوم اینرسی</t>
  </si>
  <si>
    <t>مدول سطح مقطع عرضی</t>
  </si>
  <si>
    <t>حداقل شعاع ژیراسیون</t>
  </si>
  <si>
    <t>ضریب لاغری</t>
  </si>
  <si>
    <t>ضریب کمانش</t>
  </si>
  <si>
    <t>محاسبات ریل</t>
  </si>
  <si>
    <t>کمانش</t>
  </si>
  <si>
    <t>نیروی کمانش</t>
  </si>
  <si>
    <t>تنش کمانشی</t>
  </si>
  <si>
    <t>توریع بار در جهت محور X (جلو یا عقب کابین)</t>
  </si>
  <si>
    <t>تنش خمشی</t>
  </si>
  <si>
    <t>N.mm</t>
  </si>
  <si>
    <t>تنش مرکب</t>
  </si>
  <si>
    <t>خمش فلانچ</t>
  </si>
  <si>
    <t>خیز ها</t>
  </si>
  <si>
    <t>توریع بار در جهت محور Y (چپ یا راست کابین)</t>
  </si>
  <si>
    <t>جرم کاهش‌یافته فلکه فاصله انداز سمت وزنه تعادلی</t>
  </si>
  <si>
    <t>تعداد طناب های تعلیق</t>
  </si>
  <si>
    <t>تعداد طناب های زنجیر جبران</t>
  </si>
  <si>
    <t xml:space="preserve">جرم وزنه تعادلی-کششی شامل جرم فلکه‌ها </t>
  </si>
  <si>
    <t>جرم واحد طول تراول کابل</t>
  </si>
  <si>
    <t>شکل</t>
  </si>
  <si>
    <t xml:space="preserve">زیر برش </t>
  </si>
  <si>
    <t>زاویه شیار</t>
  </si>
  <si>
    <t>رادیان</t>
  </si>
  <si>
    <t xml:space="preserve">مقدار زاویه زیر برش </t>
  </si>
  <si>
    <t>سرعت سیم بکسل در سرعت نامی کابین</t>
  </si>
  <si>
    <t>ضریب اصطکاک در حالت بارگذاری با 125% باز</t>
  </si>
  <si>
    <t>ضریب اصطکاک در حالت توقف اضطراری</t>
  </si>
  <si>
    <t>ضریب اصطکاک در حالت کابین گیر کرده</t>
  </si>
  <si>
    <t>عامل اصطکاک در حالت بارگذاری با 125% بار</t>
  </si>
  <si>
    <t>عامل اصطکاک در حالت توقف اضطراری</t>
  </si>
  <si>
    <t xml:space="preserve">عامل اصطکاک در حالت کابین گیر کرده </t>
  </si>
  <si>
    <t xml:space="preserve">جرم طناب های تعلیق در سمت کابین </t>
  </si>
  <si>
    <t>جرم واقعی کابل متحرک (تراول کابل)</t>
  </si>
  <si>
    <t>محاسبات ضریب اطمینان سیم بکسل ها</t>
  </si>
  <si>
    <t>محاسبه نيروهاي وارد بر کف و سقف چاه</t>
  </si>
  <si>
    <t>نيروي وارده بر تکيه گاه زير ضربه گير کابين</t>
  </si>
  <si>
    <t>نيروي وارده بر تکيه گاه زير ضربه گير وزنه</t>
  </si>
  <si>
    <t>وزن قابل تحمل توسط قلاب سقف موتورخانه</t>
  </si>
  <si>
    <t>وزن سيستم محرکه و متعلقات</t>
  </si>
  <si>
    <t>نيروي وارد بر کف چاهک در زير ريلهاي کابين</t>
  </si>
  <si>
    <t>محاسبات موتور و گيربکس</t>
  </si>
  <si>
    <t>جرم وزنه تعادل</t>
  </si>
  <si>
    <t>Kw</t>
  </si>
  <si>
    <t>GUIDE RAIL TECHNICAL CHARACTERISTICS</t>
  </si>
  <si>
    <t>Type</t>
  </si>
  <si>
    <t>Dimension</t>
  </si>
  <si>
    <t>Section</t>
  </si>
  <si>
    <t>Weight</t>
  </si>
  <si>
    <t>c</t>
  </si>
  <si>
    <t>Ixx</t>
  </si>
  <si>
    <t>Wxx</t>
  </si>
  <si>
    <t>ixx</t>
  </si>
  <si>
    <t>Iyy</t>
  </si>
  <si>
    <t>Wyy</t>
  </si>
  <si>
    <t>iyy</t>
  </si>
  <si>
    <r>
      <t>i</t>
    </r>
    <r>
      <rPr>
        <vertAlign val="subscript"/>
        <sz val="10"/>
        <rFont val="Arial"/>
        <family val="2"/>
      </rPr>
      <t>min</t>
    </r>
  </si>
  <si>
    <t>cm2</t>
  </si>
  <si>
    <t>Kg/m</t>
  </si>
  <si>
    <t>cm4</t>
  </si>
  <si>
    <t>cm3</t>
  </si>
  <si>
    <t xml:space="preserve">T45/A </t>
  </si>
  <si>
    <t>45-45-5</t>
  </si>
  <si>
    <t>T50/A</t>
  </si>
  <si>
    <t>50-50-5</t>
  </si>
  <si>
    <t>T70-1/A</t>
  </si>
  <si>
    <t>70-65-9</t>
  </si>
  <si>
    <t>T70-70-9/A</t>
  </si>
  <si>
    <t>70-70-9</t>
  </si>
  <si>
    <t>T82/A-B</t>
  </si>
  <si>
    <t>82-68-9</t>
  </si>
  <si>
    <t>`</t>
  </si>
  <si>
    <t>T89/A-B</t>
  </si>
  <si>
    <t>89-62-16</t>
  </si>
  <si>
    <t>T90/A-B</t>
  </si>
  <si>
    <t>90-75-16</t>
  </si>
  <si>
    <t>T114/B</t>
  </si>
  <si>
    <t>114-89-16</t>
  </si>
  <si>
    <t>T125/B</t>
  </si>
  <si>
    <t>125-82-16</t>
  </si>
  <si>
    <t>T127-1/B</t>
  </si>
  <si>
    <t>127-89-16</t>
  </si>
  <si>
    <t>T127-2/B</t>
  </si>
  <si>
    <t>T140-1/B</t>
  </si>
  <si>
    <t>140-108-19</t>
  </si>
  <si>
    <t>T140-2/B</t>
  </si>
  <si>
    <t>140-102-28.5</t>
  </si>
  <si>
    <t>Rated load,</t>
  </si>
  <si>
    <t xml:space="preserve">Maximum </t>
  </si>
  <si>
    <t>Number of</t>
  </si>
  <si>
    <t>Minimum</t>
  </si>
  <si>
    <t>mass</t>
  </si>
  <si>
    <t xml:space="preserve">available car </t>
  </si>
  <si>
    <t>passengers</t>
  </si>
  <si>
    <t>available car</t>
  </si>
  <si>
    <t>(kg)</t>
  </si>
  <si>
    <t>area (m2)</t>
  </si>
  <si>
    <t>Beyond 20 passengers add 0,115 m2 for each extra passenger</t>
  </si>
  <si>
    <t>Beyond 2500 kg add 0,16 m2 for each extra 100 kg</t>
  </si>
  <si>
    <t>For intermediate loads the area is determined by linear interpolation</t>
  </si>
  <si>
    <t>F819 S-FE</t>
  </si>
  <si>
    <t>F819 W-FE</t>
  </si>
  <si>
    <t>PAWO F3</t>
  </si>
  <si>
    <t>calculated mass</t>
  </si>
  <si>
    <t>kg/m</t>
  </si>
  <si>
    <t>kN</t>
  </si>
  <si>
    <t>زاویه پیچش طناب ها بر روی فلکه کششی</t>
  </si>
  <si>
    <t>α =</t>
  </si>
  <si>
    <t>محاسبه زاویه پیچش و اصطکاک ها</t>
  </si>
  <si>
    <t>موقعیت کابین از نیمه مسیر</t>
  </si>
  <si>
    <t>بار داخل کابین</t>
  </si>
  <si>
    <t>جرم موثر کابل متحرک (تراول کابل)</t>
  </si>
  <si>
    <t xml:space="preserve">جرم موثر طناب های تعلیق در سمت کابین </t>
  </si>
  <si>
    <t xml:space="preserve">جرم موثر طناب های تعلیق در سمت وزنه تعادل </t>
  </si>
  <si>
    <t>شتاب کابین</t>
  </si>
  <si>
    <t>stops =</t>
  </si>
  <si>
    <t>مسافری</t>
  </si>
  <si>
    <t>DW =</t>
  </si>
  <si>
    <t>عرض باز شو در کابین</t>
  </si>
  <si>
    <t>توقف</t>
  </si>
  <si>
    <t>نوع در کابین</t>
  </si>
  <si>
    <t>DD =</t>
  </si>
  <si>
    <t>مساحت آستانه جلوی در کابین</t>
  </si>
  <si>
    <t>محاسبات مساحت داخل کابین</t>
  </si>
  <si>
    <t>مساحت بین لنگه های در کابین</t>
  </si>
  <si>
    <t>مساحت داخل کابین</t>
  </si>
  <si>
    <t>جمع مساحت مفید داخل کابین</t>
  </si>
  <si>
    <t>حداکثر مساحت مجاز داخل کابین</t>
  </si>
  <si>
    <t>حداقل مساحت مجاز داخل کابین</t>
  </si>
  <si>
    <t>توان خروجی موتور</t>
  </si>
  <si>
    <t>وزن واحد طول ریل کابین</t>
  </si>
  <si>
    <t>سطح مقطع یک ریل کابین</t>
  </si>
  <si>
    <t>حالت اول: عملکرد ترمز ایمنی (پاراشوت)</t>
  </si>
  <si>
    <t xml:space="preserve">حالت دوم: استفاده عادی، در حالت حرکت </t>
  </si>
  <si>
    <t>حالت سوم: استفاده عادی در حال بارگیری</t>
  </si>
  <si>
    <t>عدد معادل فلکه‌های کششی- اصطکاکی</t>
  </si>
  <si>
    <t>عدد معادل فلکه‌های انحرافی</t>
  </si>
  <si>
    <t>--</t>
  </si>
  <si>
    <t>KN</t>
  </si>
  <si>
    <t>حداقل بار گسیختگی طناب تعلیق (سیم بکسل)</t>
  </si>
  <si>
    <t>عدد معادل فلکه‌ها</t>
  </si>
  <si>
    <t>حداقل ضريب اطمينان  مورد نیاز برای سیم بکسل ها</t>
  </si>
  <si>
    <t>ضريب اطمينان فعلی سیم بکسل ها</t>
  </si>
  <si>
    <t>جرم کابین خالی و اجزائی که به آن متصل هستند</t>
  </si>
  <si>
    <t>8x19 سیل با مغز کنفی</t>
  </si>
  <si>
    <t>8x19 وارینگتون با مغز کنفی</t>
  </si>
  <si>
    <t>8x19 وارینگتون با مغز فولادی</t>
  </si>
  <si>
    <t>8x19 سیل با مغز نیمه فولادی</t>
  </si>
  <si>
    <t>Passenger No. =</t>
  </si>
  <si>
    <t>γ =</t>
  </si>
  <si>
    <t>β =</t>
  </si>
  <si>
    <t>ضریب نسبت بین قطر فلکه کششی و سایر فلکه‌ها</t>
  </si>
  <si>
    <t>فاصله عمودي مرکز فلکه کشش تا مرکز قلکه هرزگرد</t>
  </si>
  <si>
    <t>محاسبات کشش سیم بکسل‌ها</t>
  </si>
  <si>
    <t>E =</t>
  </si>
  <si>
    <t>A =</t>
  </si>
  <si>
    <t>W =</t>
  </si>
  <si>
    <t>c =</t>
  </si>
  <si>
    <t>i =</t>
  </si>
  <si>
    <t>ضریب ضربه در حالت ترمز ایمنی (پاراشوت)</t>
  </si>
  <si>
    <t>نيروي وارد بر سقف چاه (دال بتونی زير موتور)</t>
  </si>
  <si>
    <t>فاصله افقی بکسلهاي کابين و وزنه (شکل روبرو)</t>
  </si>
  <si>
    <t>Comp</t>
  </si>
  <si>
    <t>آدرس پروژه</t>
  </si>
  <si>
    <t>عمق آستانه جلوی درب کابین</t>
  </si>
  <si>
    <t>N =</t>
  </si>
  <si>
    <t>تعداد شیار</t>
  </si>
  <si>
    <t>λ = l/i =</t>
  </si>
  <si>
    <t>تعداد</t>
  </si>
  <si>
    <t xml:space="preserve">جنس فلکه </t>
  </si>
  <si>
    <t>قطر فلکه mm</t>
  </si>
  <si>
    <t>مشخصات فلکه های هرزگرد</t>
  </si>
  <si>
    <t>محل قرارگیری فلکه</t>
  </si>
  <si>
    <t>ضریب طناب بندی (سیستم تعلیق)</t>
  </si>
  <si>
    <t>راندمان چاه</t>
  </si>
  <si>
    <t>مشخصات آسانسور و چاه</t>
  </si>
  <si>
    <t>مشحصات ریل، کابین و وزنه تعادل</t>
  </si>
  <si>
    <t>فلکه هرزگرد متصل به کابین (متحرک)</t>
  </si>
  <si>
    <t>فلکه هرزگرد روی وزنه تعادل (متحرک)</t>
  </si>
  <si>
    <t>فلکه فاصله انداز سمت وزنه تعادل (ثابت)</t>
  </si>
  <si>
    <t>فلکه فاصله انداز سمت کابین (ثابت)</t>
  </si>
  <si>
    <t>قطر فلکه هرزگرد - میلی متر</t>
  </si>
  <si>
    <t>طناب/زنجير جبران</t>
  </si>
  <si>
    <t>مشخصات سیم بکسل، کابل متحرک و زنجیر جبران</t>
  </si>
  <si>
    <t>شتاب ناشی از توقف اضطراری کابین</t>
  </si>
  <si>
    <t>مشخصات فلکه‌های هرزگرد</t>
  </si>
  <si>
    <t>میانگین قطر همه فلکه های هرز گرد</t>
  </si>
  <si>
    <t>تدریجی</t>
  </si>
  <si>
    <t>پلیمری</t>
  </si>
  <si>
    <t xml:space="preserve">زاويه زیر برش </t>
  </si>
  <si>
    <t>کاربري آسانسور</t>
  </si>
  <si>
    <t>تعداد مسافر</t>
  </si>
  <si>
    <t>تعداد توقف (طبقات)</t>
  </si>
  <si>
    <t>ارتفاع حرکت (طول مسیر)</t>
  </si>
  <si>
    <t>فاصله عمودی بین کفشکهای بالا و پایین کابین</t>
  </si>
  <si>
    <t>نیرو در ریل دراثر بار تجهیزات کمکی</t>
  </si>
  <si>
    <t xml:space="preserve">جرم کاهش‌یافته فلکه ی کشش طناب جبران </t>
  </si>
  <si>
    <r>
      <t>مجموع جرم کاهش‌یافته فلکه های متصل به کابین</t>
    </r>
    <r>
      <rPr>
        <sz val="12"/>
        <rFont val="Times New Roman"/>
        <family val="1"/>
      </rPr>
      <t/>
    </r>
  </si>
  <si>
    <t>مجموع جرم کاهش‌یافته فلکه های روی وزنه تعادلی</t>
  </si>
  <si>
    <t>شتاب ثقل زمین</t>
  </si>
  <si>
    <t>تعداد فلکه های  روی وزنه تعادل</t>
  </si>
  <si>
    <t>تعداد فلکه فاصله انداز سمت کابین (ثابت)</t>
  </si>
  <si>
    <t>تعداد فلکه فاصله انداز سمت وزنه تعادل (ثابت)</t>
  </si>
  <si>
    <t>فاصله افقی مرکز فلکه کششی تا مرکز پولی هرزگرد</t>
  </si>
  <si>
    <t>تعداد فلکه های متصل به کابین</t>
  </si>
  <si>
    <t>Nequiv(t) EN81-1</t>
  </si>
  <si>
    <t>Nequiv(t) EN81-50</t>
  </si>
  <si>
    <t>راندمان چاه و پولی ها</t>
  </si>
  <si>
    <t>بار غير متعادل روی موتور</t>
  </si>
  <si>
    <t xml:space="preserve">توان مورد نیاز موتور با ظرفیت پر در میانه مسیر </t>
  </si>
  <si>
    <t>فاصله مرکز آویز  نسبت به ریل راهنما در جهت Y</t>
  </si>
  <si>
    <t>نیرو در ریل در اثر تجهیزات کمکی</t>
  </si>
  <si>
    <r>
      <t>D</t>
    </r>
    <r>
      <rPr>
        <vertAlign val="subscript"/>
        <sz val="14"/>
        <rFont val="Calibri"/>
        <family val="2"/>
        <scheme val="minor"/>
      </rPr>
      <t>X</t>
    </r>
    <r>
      <rPr>
        <sz val="14"/>
        <rFont val="Calibri"/>
        <family val="2"/>
        <scheme val="minor"/>
      </rPr>
      <t xml:space="preserve"> =</t>
    </r>
  </si>
  <si>
    <r>
      <t>D</t>
    </r>
    <r>
      <rPr>
        <vertAlign val="subscript"/>
        <sz val="14"/>
        <rFont val="Calibri"/>
        <family val="2"/>
        <scheme val="minor"/>
      </rPr>
      <t>Y</t>
    </r>
    <r>
      <rPr>
        <sz val="14"/>
        <rFont val="Calibri"/>
        <family val="2"/>
        <scheme val="minor"/>
      </rPr>
      <t xml:space="preserve"> =</t>
    </r>
  </si>
  <si>
    <r>
      <t>g</t>
    </r>
    <r>
      <rPr>
        <vertAlign val="subscript"/>
        <sz val="14"/>
        <rFont val="Calibri"/>
        <family val="2"/>
        <scheme val="minor"/>
      </rPr>
      <t>n</t>
    </r>
    <r>
      <rPr>
        <sz val="14"/>
        <rFont val="Calibri"/>
        <family val="2"/>
        <scheme val="minor"/>
      </rPr>
      <t xml:space="preserve"> =</t>
    </r>
  </si>
  <si>
    <r>
      <t>D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 xml:space="preserve"> =</t>
    </r>
  </si>
  <si>
    <r>
      <t>D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 xml:space="preserve"> =</t>
    </r>
  </si>
  <si>
    <r>
      <t>X</t>
    </r>
    <r>
      <rPr>
        <vertAlign val="subscript"/>
        <sz val="13"/>
        <rFont val="Calibri"/>
        <family val="2"/>
        <scheme val="minor"/>
      </rPr>
      <t>C</t>
    </r>
    <r>
      <rPr>
        <sz val="13"/>
        <rFont val="Calibri"/>
        <family val="2"/>
        <scheme val="minor"/>
      </rPr>
      <t xml:space="preserve"> =</t>
    </r>
  </si>
  <si>
    <r>
      <t>Y</t>
    </r>
    <r>
      <rPr>
        <vertAlign val="subscript"/>
        <sz val="13"/>
        <rFont val="Calibri"/>
        <family val="2"/>
        <scheme val="minor"/>
      </rPr>
      <t>C</t>
    </r>
    <r>
      <rPr>
        <sz val="13"/>
        <rFont val="Calibri"/>
        <family val="2"/>
        <scheme val="minor"/>
      </rPr>
      <t xml:space="preserve"> =</t>
    </r>
  </si>
  <si>
    <r>
      <t>X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 xml:space="preserve"> =</t>
    </r>
  </si>
  <si>
    <r>
      <t>Y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 xml:space="preserve"> =</t>
    </r>
  </si>
  <si>
    <r>
      <t>X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 xml:space="preserve"> =</t>
    </r>
  </si>
  <si>
    <r>
      <t>Y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 xml:space="preserve"> =</t>
    </r>
  </si>
  <si>
    <r>
      <t>X</t>
    </r>
    <r>
      <rPr>
        <vertAlign val="subscript"/>
        <sz val="13"/>
        <rFont val="Calibri"/>
        <family val="2"/>
        <scheme val="minor"/>
      </rPr>
      <t>i</t>
    </r>
    <r>
      <rPr>
        <sz val="13"/>
        <rFont val="Calibri"/>
        <family val="2"/>
        <scheme val="minor"/>
      </rPr>
      <t xml:space="preserve"> =</t>
    </r>
  </si>
  <si>
    <r>
      <t>Y</t>
    </r>
    <r>
      <rPr>
        <vertAlign val="subscript"/>
        <sz val="13"/>
        <rFont val="Calibri"/>
        <family val="2"/>
        <scheme val="minor"/>
      </rPr>
      <t>i</t>
    </r>
    <r>
      <rPr>
        <sz val="13"/>
        <rFont val="Calibri"/>
        <family val="2"/>
        <scheme val="minor"/>
      </rPr>
      <t xml:space="preserve"> =</t>
    </r>
  </si>
  <si>
    <r>
      <t>K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 xml:space="preserve"> =</t>
    </r>
  </si>
  <si>
    <r>
      <t>K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 xml:space="preserve"> =</t>
    </r>
  </si>
  <si>
    <r>
      <t>K</t>
    </r>
    <r>
      <rPr>
        <vertAlign val="subscript"/>
        <sz val="13"/>
        <rFont val="Calibri"/>
        <family val="2"/>
        <scheme val="minor"/>
      </rPr>
      <t>3</t>
    </r>
    <r>
      <rPr>
        <sz val="13"/>
        <rFont val="Calibri"/>
        <family val="2"/>
        <scheme val="minor"/>
      </rPr>
      <t xml:space="preserve"> =</t>
    </r>
  </si>
  <si>
    <r>
      <t>F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 xml:space="preserve"> =</t>
    </r>
  </si>
  <si>
    <r>
      <t>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 xml:space="preserve"> =</t>
    </r>
  </si>
  <si>
    <r>
      <t>I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 xml:space="preserve"> =</t>
    </r>
  </si>
  <si>
    <r>
      <t>I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 xml:space="preserve"> =</t>
    </r>
  </si>
  <si>
    <r>
      <t>W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 xml:space="preserve"> =</t>
    </r>
  </si>
  <si>
    <r>
      <t>W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 xml:space="preserve"> =</t>
    </r>
  </si>
  <si>
    <r>
      <t>F</t>
    </r>
    <r>
      <rPr>
        <vertAlign val="subscript"/>
        <sz val="13"/>
        <rFont val="Calibri"/>
        <family val="2"/>
        <scheme val="minor"/>
      </rPr>
      <t>k</t>
    </r>
    <r>
      <rPr>
        <sz val="13"/>
        <rFont val="Calibri"/>
        <family val="2"/>
        <scheme val="minor"/>
      </rPr>
      <t xml:space="preserve"> = k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*g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*(Q+P)/n =</t>
    </r>
  </si>
  <si>
    <r>
      <t>σ</t>
    </r>
    <r>
      <rPr>
        <vertAlign val="subscript"/>
        <sz val="13"/>
        <rFont val="Calibri"/>
        <family val="2"/>
        <scheme val="minor"/>
      </rPr>
      <t>k</t>
    </r>
    <r>
      <rPr>
        <sz val="13"/>
        <rFont val="Calibri"/>
        <family val="2"/>
        <scheme val="minor"/>
      </rPr>
      <t xml:space="preserve"> = (F</t>
    </r>
    <r>
      <rPr>
        <vertAlign val="subscript"/>
        <sz val="13"/>
        <rFont val="Calibri"/>
        <family val="2"/>
        <scheme val="minor"/>
      </rPr>
      <t>k</t>
    </r>
    <r>
      <rPr>
        <sz val="13"/>
        <rFont val="Calibri"/>
        <family val="2"/>
        <scheme val="minor"/>
      </rPr>
      <t>+K</t>
    </r>
    <r>
      <rPr>
        <vertAlign val="subscript"/>
        <sz val="13"/>
        <rFont val="Calibri"/>
        <family val="2"/>
        <scheme val="minor"/>
      </rPr>
      <t>3</t>
    </r>
    <r>
      <rPr>
        <sz val="13"/>
        <rFont val="Calibri"/>
        <family val="2"/>
        <scheme val="minor"/>
      </rPr>
      <t>.m)*ω/A =</t>
    </r>
  </si>
  <si>
    <r>
      <t>F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 xml:space="preserve"> = K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*g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*(Q*(X</t>
    </r>
    <r>
      <rPr>
        <vertAlign val="subscript"/>
        <sz val="13"/>
        <rFont val="Calibri"/>
        <family val="2"/>
        <scheme val="minor"/>
      </rPr>
      <t>c</t>
    </r>
    <r>
      <rPr>
        <sz val="13"/>
        <rFont val="Calibri"/>
        <family val="2"/>
        <scheme val="minor"/>
      </rPr>
      <t>+D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>/8)+p*X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>)/(n*h) =</t>
    </r>
  </si>
  <si>
    <r>
      <t>M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 xml:space="preserve"> = 3F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>*L/16 =</t>
    </r>
  </si>
  <si>
    <r>
      <t>σ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 xml:space="preserve"> = M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>/W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 xml:space="preserve"> =</t>
    </r>
  </si>
  <si>
    <r>
      <t>F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 xml:space="preserve"> = K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*g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*(Q*Y</t>
    </r>
    <r>
      <rPr>
        <vertAlign val="subscript"/>
        <sz val="13"/>
        <rFont val="Calibri"/>
        <family val="2"/>
        <scheme val="minor"/>
      </rPr>
      <t>c</t>
    </r>
    <r>
      <rPr>
        <sz val="13"/>
        <rFont val="Calibri"/>
        <family val="2"/>
        <scheme val="minor"/>
      </rPr>
      <t>+p*Y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>)/(n/2*h) =</t>
    </r>
  </si>
  <si>
    <r>
      <t>M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 xml:space="preserve"> = 3F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>*l/16 =</t>
    </r>
  </si>
  <si>
    <r>
      <t>σ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 xml:space="preserve"> = M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>/W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 xml:space="preserve"> =</t>
    </r>
  </si>
  <si>
    <r>
      <t>σ</t>
    </r>
    <r>
      <rPr>
        <vertAlign val="subscript"/>
        <sz val="13"/>
        <rFont val="Calibri"/>
        <family val="2"/>
        <scheme val="minor"/>
      </rPr>
      <t>m</t>
    </r>
    <r>
      <rPr>
        <sz val="13"/>
        <rFont val="Calibri"/>
        <family val="2"/>
        <scheme val="minor"/>
      </rPr>
      <t xml:space="preserve"> = σ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>+σ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 xml:space="preserve"> =</t>
    </r>
  </si>
  <si>
    <r>
      <t>σ</t>
    </r>
    <r>
      <rPr>
        <vertAlign val="subscript"/>
        <sz val="13"/>
        <rFont val="Calibri"/>
        <family val="2"/>
        <scheme val="minor"/>
      </rPr>
      <t>c</t>
    </r>
    <r>
      <rPr>
        <sz val="13"/>
        <rFont val="Calibri"/>
        <family val="2"/>
        <scheme val="minor"/>
      </rPr>
      <t xml:space="preserve"> = σ</t>
    </r>
    <r>
      <rPr>
        <vertAlign val="subscript"/>
        <sz val="13"/>
        <rFont val="Calibri"/>
        <family val="2"/>
        <scheme val="minor"/>
      </rPr>
      <t>k</t>
    </r>
    <r>
      <rPr>
        <sz val="13"/>
        <rFont val="Calibri"/>
        <family val="2"/>
        <scheme val="minor"/>
      </rPr>
      <t>+0.9σ</t>
    </r>
    <r>
      <rPr>
        <vertAlign val="subscript"/>
        <sz val="13"/>
        <rFont val="Calibri"/>
        <family val="2"/>
        <scheme val="minor"/>
      </rPr>
      <t>m</t>
    </r>
    <r>
      <rPr>
        <sz val="13"/>
        <rFont val="Calibri"/>
        <family val="2"/>
        <scheme val="minor"/>
      </rPr>
      <t xml:space="preserve"> =</t>
    </r>
  </si>
  <si>
    <r>
      <t>σ</t>
    </r>
    <r>
      <rPr>
        <vertAlign val="subscript"/>
        <sz val="13"/>
        <rFont val="Calibri"/>
        <family val="2"/>
        <scheme val="minor"/>
      </rPr>
      <t>F</t>
    </r>
    <r>
      <rPr>
        <sz val="13"/>
        <rFont val="Calibri"/>
        <family val="2"/>
        <scheme val="minor"/>
      </rPr>
      <t xml:space="preserve"> = 1.85*F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>/c^2 =</t>
    </r>
  </si>
  <si>
    <r>
      <t>δ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 xml:space="preserve"> = 0.7*F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>*L^3/(48*E*I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>) =</t>
    </r>
  </si>
  <si>
    <r>
      <t>δ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 xml:space="preserve"> = 0.7*F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>L^3/(48*E*I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>) =</t>
    </r>
  </si>
  <si>
    <r>
      <t>F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 xml:space="preserve"> = K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*g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*(Q*X</t>
    </r>
    <r>
      <rPr>
        <vertAlign val="subscript"/>
        <sz val="13"/>
        <rFont val="Calibri"/>
        <family val="2"/>
        <scheme val="minor"/>
      </rPr>
      <t>c</t>
    </r>
    <r>
      <rPr>
        <sz val="13"/>
        <rFont val="Calibri"/>
        <family val="2"/>
        <scheme val="minor"/>
      </rPr>
      <t>+p*X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>)/(n*h) =</t>
    </r>
  </si>
  <si>
    <r>
      <t>F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 xml:space="preserve"> = K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*g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*(Q*(Y</t>
    </r>
    <r>
      <rPr>
        <vertAlign val="subscript"/>
        <sz val="13"/>
        <rFont val="Calibri"/>
        <family val="2"/>
        <scheme val="minor"/>
      </rPr>
      <t>c</t>
    </r>
    <r>
      <rPr>
        <sz val="13"/>
        <rFont val="Calibri"/>
        <family val="2"/>
        <scheme val="minor"/>
      </rPr>
      <t>+Dy/8)+p*Y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>)/(n/2*h) =</t>
    </r>
  </si>
  <si>
    <r>
      <t>σ</t>
    </r>
    <r>
      <rPr>
        <vertAlign val="subscript"/>
        <sz val="13"/>
        <rFont val="Calibri"/>
        <family val="2"/>
        <scheme val="minor"/>
      </rPr>
      <t>c</t>
    </r>
    <r>
      <rPr>
        <sz val="13"/>
        <rFont val="Calibri"/>
        <family val="2"/>
        <scheme val="minor"/>
      </rPr>
      <t xml:space="preserve"> = σ</t>
    </r>
    <r>
      <rPr>
        <vertAlign val="subscript"/>
        <sz val="13"/>
        <rFont val="Calibri"/>
        <family val="2"/>
        <scheme val="minor"/>
      </rPr>
      <t>k</t>
    </r>
    <r>
      <rPr>
        <sz val="13"/>
        <rFont val="Calibri"/>
        <family val="2"/>
        <scheme val="minor"/>
      </rPr>
      <t>+0.9*σ</t>
    </r>
    <r>
      <rPr>
        <vertAlign val="subscript"/>
        <sz val="13"/>
        <rFont val="Calibri"/>
        <family val="2"/>
        <scheme val="minor"/>
      </rPr>
      <t>m</t>
    </r>
    <r>
      <rPr>
        <sz val="13"/>
        <rFont val="Calibri"/>
        <family val="2"/>
        <scheme val="minor"/>
      </rPr>
      <t xml:space="preserve"> =</t>
    </r>
  </si>
  <si>
    <r>
      <t>F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>=(P*g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*(X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>-X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>)+F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>*(X</t>
    </r>
    <r>
      <rPr>
        <vertAlign val="subscript"/>
        <sz val="13"/>
        <rFont val="Calibri"/>
        <family val="2"/>
        <scheme val="minor"/>
      </rPr>
      <t>i</t>
    </r>
    <r>
      <rPr>
        <sz val="13"/>
        <rFont val="Calibri"/>
        <family val="2"/>
        <scheme val="minor"/>
      </rPr>
      <t>-X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>))/(n*h) =</t>
    </r>
  </si>
  <si>
    <r>
      <t>σ = σ</t>
    </r>
    <r>
      <rPr>
        <vertAlign val="subscript"/>
        <sz val="13"/>
        <rFont val="Calibri"/>
        <family val="2"/>
        <scheme val="minor"/>
      </rPr>
      <t>m</t>
    </r>
    <r>
      <rPr>
        <sz val="13"/>
        <rFont val="Calibri"/>
        <family val="2"/>
        <scheme val="minor"/>
      </rPr>
      <t>+(F</t>
    </r>
    <r>
      <rPr>
        <vertAlign val="subscript"/>
        <sz val="13"/>
        <rFont val="Calibri"/>
        <family val="2"/>
        <scheme val="minor"/>
      </rPr>
      <t>k</t>
    </r>
    <r>
      <rPr>
        <sz val="13"/>
        <rFont val="Calibri"/>
        <family val="2"/>
        <scheme val="minor"/>
      </rPr>
      <t>+K</t>
    </r>
    <r>
      <rPr>
        <vertAlign val="subscript"/>
        <sz val="13"/>
        <rFont val="Calibri"/>
        <family val="2"/>
        <scheme val="minor"/>
      </rPr>
      <t>3</t>
    </r>
    <r>
      <rPr>
        <sz val="13"/>
        <rFont val="Calibri"/>
        <family val="2"/>
        <scheme val="minor"/>
      </rPr>
      <t>*M)/A =</t>
    </r>
  </si>
  <si>
    <t>شرکت بازرسی ایران</t>
  </si>
  <si>
    <t>تهران، خیابان ایران</t>
  </si>
  <si>
    <r>
      <t>η</t>
    </r>
    <r>
      <rPr>
        <vertAlign val="subscript"/>
        <sz val="13"/>
        <rFont val="Calibri"/>
        <family val="2"/>
        <scheme val="minor"/>
      </rPr>
      <t>G</t>
    </r>
    <r>
      <rPr>
        <sz val="13"/>
        <rFont val="Calibri"/>
        <family val="2"/>
        <scheme val="minor"/>
      </rPr>
      <t xml:space="preserve"> =</t>
    </r>
  </si>
  <si>
    <r>
      <t>V</t>
    </r>
    <r>
      <rPr>
        <vertAlign val="subscript"/>
        <sz val="13"/>
        <rFont val="Calibri"/>
        <family val="2"/>
        <scheme val="minor"/>
      </rPr>
      <t>Car</t>
    </r>
    <r>
      <rPr>
        <sz val="13"/>
        <rFont val="Calibri"/>
        <family val="2"/>
        <scheme val="minor"/>
      </rPr>
      <t xml:space="preserve"> =</t>
    </r>
  </si>
  <si>
    <r>
      <t>W</t>
    </r>
    <r>
      <rPr>
        <vertAlign val="subscript"/>
        <sz val="13"/>
        <rFont val="Calibri"/>
        <family val="2"/>
        <scheme val="minor"/>
      </rPr>
      <t>out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</si>
  <si>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>gb</t>
    </r>
    <r>
      <rPr>
        <sz val="13"/>
        <rFont val="Calibri"/>
        <family val="2"/>
        <scheme val="minor"/>
      </rPr>
      <t xml:space="preserve"> =</t>
    </r>
  </si>
  <si>
    <r>
      <t>D</t>
    </r>
    <r>
      <rPr>
        <vertAlign val="subscript"/>
        <sz val="13"/>
        <rFont val="Calibri"/>
        <family val="2"/>
        <scheme val="minor"/>
      </rPr>
      <t>t</t>
    </r>
    <r>
      <rPr>
        <sz val="13"/>
        <rFont val="Calibri"/>
        <family val="2"/>
        <scheme val="minor"/>
      </rPr>
      <t xml:space="preserve"> =</t>
    </r>
  </si>
  <si>
    <r>
      <t>h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 xml:space="preserve"> =</t>
    </r>
  </si>
  <si>
    <r>
      <t>D</t>
    </r>
    <r>
      <rPr>
        <vertAlign val="subscript"/>
        <sz val="13"/>
        <rFont val="Calibri"/>
        <family val="2"/>
        <scheme val="minor"/>
      </rPr>
      <t xml:space="preserve">X </t>
    </r>
    <r>
      <rPr>
        <sz val="13"/>
        <rFont val="Calibri"/>
        <family val="2"/>
        <scheme val="minor"/>
      </rPr>
      <t>=</t>
    </r>
  </si>
  <si>
    <r>
      <t>D</t>
    </r>
    <r>
      <rPr>
        <vertAlign val="subscript"/>
        <sz val="13"/>
        <rFont val="Calibri"/>
        <family val="2"/>
        <scheme val="minor"/>
      </rPr>
      <t xml:space="preserve">Y </t>
    </r>
    <r>
      <rPr>
        <sz val="13"/>
        <rFont val="Calibri"/>
        <family val="2"/>
        <scheme val="minor"/>
      </rPr>
      <t>=</t>
    </r>
  </si>
  <si>
    <r>
      <t>X</t>
    </r>
    <r>
      <rPr>
        <vertAlign val="subscript"/>
        <sz val="13"/>
        <rFont val="Calibri"/>
        <family val="2"/>
        <scheme val="minor"/>
      </rPr>
      <t xml:space="preserve">C </t>
    </r>
    <r>
      <rPr>
        <sz val="13"/>
        <rFont val="Calibri"/>
        <family val="2"/>
        <scheme val="minor"/>
      </rPr>
      <t>=</t>
    </r>
  </si>
  <si>
    <r>
      <t>Y</t>
    </r>
    <r>
      <rPr>
        <vertAlign val="subscript"/>
        <sz val="13"/>
        <rFont val="Calibri"/>
        <family val="2"/>
        <scheme val="minor"/>
      </rPr>
      <t xml:space="preserve">C </t>
    </r>
    <r>
      <rPr>
        <sz val="13"/>
        <rFont val="Calibri"/>
        <family val="2"/>
        <scheme val="minor"/>
      </rPr>
      <t>=</t>
    </r>
  </si>
  <si>
    <r>
      <t>X</t>
    </r>
    <r>
      <rPr>
        <vertAlign val="subscript"/>
        <sz val="13"/>
        <rFont val="Calibri"/>
        <family val="2"/>
        <scheme val="minor"/>
      </rPr>
      <t xml:space="preserve">P </t>
    </r>
    <r>
      <rPr>
        <sz val="13"/>
        <rFont val="Calibri"/>
        <family val="2"/>
        <scheme val="minor"/>
      </rPr>
      <t>=</t>
    </r>
  </si>
  <si>
    <r>
      <t>Y</t>
    </r>
    <r>
      <rPr>
        <vertAlign val="subscript"/>
        <sz val="13"/>
        <rFont val="Calibri"/>
        <family val="2"/>
        <scheme val="minor"/>
      </rPr>
      <t xml:space="preserve">P </t>
    </r>
    <r>
      <rPr>
        <sz val="13"/>
        <rFont val="Calibri"/>
        <family val="2"/>
        <scheme val="minor"/>
      </rPr>
      <t>=</t>
    </r>
  </si>
  <si>
    <r>
      <t>X</t>
    </r>
    <r>
      <rPr>
        <vertAlign val="subscript"/>
        <sz val="13"/>
        <rFont val="Calibri"/>
        <family val="2"/>
        <scheme val="minor"/>
      </rPr>
      <t xml:space="preserve">S </t>
    </r>
    <r>
      <rPr>
        <sz val="13"/>
        <rFont val="Calibri"/>
        <family val="2"/>
        <scheme val="minor"/>
      </rPr>
      <t>=</t>
    </r>
  </si>
  <si>
    <r>
      <t>Y</t>
    </r>
    <r>
      <rPr>
        <vertAlign val="subscript"/>
        <sz val="13"/>
        <rFont val="Calibri"/>
        <family val="2"/>
        <scheme val="minor"/>
      </rPr>
      <t xml:space="preserve">S </t>
    </r>
    <r>
      <rPr>
        <sz val="13"/>
        <rFont val="Calibri"/>
        <family val="2"/>
        <scheme val="minor"/>
      </rPr>
      <t>=</t>
    </r>
  </si>
  <si>
    <r>
      <t>X</t>
    </r>
    <r>
      <rPr>
        <vertAlign val="subscript"/>
        <sz val="13"/>
        <rFont val="Calibri"/>
        <family val="2"/>
        <scheme val="minor"/>
      </rPr>
      <t xml:space="preserve">i </t>
    </r>
    <r>
      <rPr>
        <sz val="13"/>
        <rFont val="Calibri"/>
        <family val="2"/>
        <scheme val="minor"/>
      </rPr>
      <t>=</t>
    </r>
  </si>
  <si>
    <r>
      <t>d</t>
    </r>
    <r>
      <rPr>
        <vertAlign val="subscript"/>
        <sz val="13"/>
        <rFont val="Calibri"/>
        <family val="2"/>
        <scheme val="minor"/>
      </rPr>
      <t>r</t>
    </r>
    <r>
      <rPr>
        <sz val="13"/>
        <rFont val="Calibri"/>
        <family val="2"/>
        <scheme val="minor"/>
      </rPr>
      <t xml:space="preserve"> =</t>
    </r>
  </si>
  <si>
    <r>
      <t>n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 xml:space="preserve"> =</t>
    </r>
  </si>
  <si>
    <r>
      <t>n</t>
    </r>
    <r>
      <rPr>
        <vertAlign val="subscript"/>
        <sz val="13"/>
        <rFont val="Calibri"/>
        <family val="2"/>
        <scheme val="minor"/>
      </rPr>
      <t>t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</si>
  <si>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>T</t>
    </r>
    <r>
      <rPr>
        <sz val="13"/>
        <rFont val="Calibri"/>
        <family val="2"/>
        <scheme val="minor"/>
      </rPr>
      <t xml:space="preserve"> =</t>
    </r>
  </si>
  <si>
    <r>
      <t>n</t>
    </r>
    <r>
      <rPr>
        <vertAlign val="subscript"/>
        <sz val="13"/>
        <rFont val="Calibri"/>
        <family val="2"/>
        <scheme val="minor"/>
      </rPr>
      <t>c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</si>
  <si>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>CR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</si>
  <si>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 xml:space="preserve">PTD </t>
    </r>
    <r>
      <rPr>
        <i/>
        <sz val="13"/>
        <rFont val="Calibri"/>
        <family val="2"/>
        <scheme val="minor"/>
      </rPr>
      <t>= J</t>
    </r>
    <r>
      <rPr>
        <i/>
        <vertAlign val="subscript"/>
        <sz val="13"/>
        <rFont val="Calibri"/>
        <family val="2"/>
        <scheme val="minor"/>
      </rPr>
      <t>PTD</t>
    </r>
    <r>
      <rPr>
        <i/>
        <sz val="13"/>
        <rFont val="Calibri"/>
        <family val="2"/>
        <scheme val="minor"/>
      </rPr>
      <t>/R</t>
    </r>
    <r>
      <rPr>
        <i/>
        <vertAlign val="super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</si>
  <si>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>Comp</t>
    </r>
    <r>
      <rPr>
        <sz val="13"/>
        <rFont val="Calibri"/>
        <family val="2"/>
        <scheme val="minor"/>
      </rPr>
      <t xml:space="preserve"> =</t>
    </r>
  </si>
  <si>
    <r>
      <t>F</t>
    </r>
    <r>
      <rPr>
        <vertAlign val="subscript"/>
        <sz val="13"/>
        <rFont val="Calibri"/>
        <family val="2"/>
        <scheme val="minor"/>
      </rPr>
      <t>RCar</t>
    </r>
    <r>
      <rPr>
        <sz val="13"/>
        <rFont val="Calibri"/>
        <family val="2"/>
        <scheme val="minor"/>
      </rPr>
      <t xml:space="preserve"> =</t>
    </r>
  </si>
  <si>
    <r>
      <t>F</t>
    </r>
    <r>
      <rPr>
        <vertAlign val="subscript"/>
        <sz val="13"/>
        <rFont val="Calibri"/>
        <family val="2"/>
        <scheme val="minor"/>
      </rPr>
      <t>RCwt</t>
    </r>
    <r>
      <rPr>
        <sz val="13"/>
        <rFont val="Calibri"/>
        <family val="2"/>
        <scheme val="minor"/>
      </rPr>
      <t xml:space="preserve"> =</t>
    </r>
  </si>
  <si>
    <r>
      <t>N</t>
    </r>
    <r>
      <rPr>
        <vertAlign val="subscript"/>
        <sz val="13"/>
        <rFont val="Calibri"/>
        <family val="2"/>
        <scheme val="minor"/>
      </rPr>
      <t>pr</t>
    </r>
    <r>
      <rPr>
        <sz val="13"/>
        <rFont val="Calibri"/>
        <family val="2"/>
        <scheme val="minor"/>
      </rPr>
      <t xml:space="preserve"> =</t>
    </r>
  </si>
  <si>
    <t>اورهد (ارتفاع بالاسری)</t>
  </si>
  <si>
    <r>
      <t>m</t>
    </r>
    <r>
      <rPr>
        <vertAlign val="superscript"/>
        <sz val="12"/>
        <rFont val="Tahoma"/>
        <family val="2"/>
      </rPr>
      <t>2</t>
    </r>
  </si>
  <si>
    <r>
      <t>F</t>
    </r>
    <r>
      <rPr>
        <vertAlign val="subscript"/>
        <sz val="14"/>
        <rFont val="Calibri"/>
        <family val="2"/>
        <scheme val="minor"/>
      </rPr>
      <t>2</t>
    </r>
    <r>
      <rPr>
        <sz val="14"/>
        <rFont val="Calibri"/>
        <family val="2"/>
        <scheme val="minor"/>
      </rPr>
      <t xml:space="preserve"> = 4*g</t>
    </r>
    <r>
      <rPr>
        <vertAlign val="subscript"/>
        <sz val="14"/>
        <rFont val="Calibri"/>
        <family val="2"/>
        <scheme val="minor"/>
      </rPr>
      <t>n</t>
    </r>
    <r>
      <rPr>
        <sz val="14"/>
        <rFont val="Calibri"/>
        <family val="2"/>
        <scheme val="minor"/>
      </rPr>
      <t>(P+q.Q) =</t>
    </r>
  </si>
  <si>
    <r>
      <t>F</t>
    </r>
    <r>
      <rPr>
        <vertAlign val="subscript"/>
        <sz val="14"/>
        <rFont val="Calibri"/>
        <family val="2"/>
        <scheme val="minor"/>
      </rPr>
      <t>1</t>
    </r>
    <r>
      <rPr>
        <sz val="14"/>
        <rFont val="Calibri"/>
        <family val="2"/>
        <scheme val="minor"/>
      </rPr>
      <t xml:space="preserve"> = 4*g</t>
    </r>
    <r>
      <rPr>
        <vertAlign val="subscript"/>
        <sz val="14"/>
        <rFont val="Calibri"/>
        <family val="2"/>
        <scheme val="minor"/>
      </rPr>
      <t>n</t>
    </r>
    <r>
      <rPr>
        <sz val="14"/>
        <rFont val="Calibri"/>
        <family val="2"/>
        <scheme val="minor"/>
      </rPr>
      <t>(P+Q) =</t>
    </r>
  </si>
  <si>
    <r>
      <t>M</t>
    </r>
    <r>
      <rPr>
        <vertAlign val="subscript"/>
        <sz val="14"/>
        <rFont val="Calibri"/>
        <family val="2"/>
        <scheme val="minor"/>
      </rPr>
      <t>gb</t>
    </r>
    <r>
      <rPr>
        <sz val="14"/>
        <rFont val="Calibri"/>
        <family val="2"/>
        <scheme val="minor"/>
      </rPr>
      <t xml:space="preserve"> =</t>
    </r>
  </si>
  <si>
    <r>
      <t>F</t>
    </r>
    <r>
      <rPr>
        <vertAlign val="subscript"/>
        <sz val="14"/>
        <rFont val="Calibri"/>
        <family val="2"/>
        <scheme val="minor"/>
      </rPr>
      <t>3</t>
    </r>
    <r>
      <rPr>
        <sz val="14"/>
        <rFont val="Calibri"/>
        <family val="2"/>
        <scheme val="minor"/>
      </rPr>
      <t xml:space="preserve"> = ((2*P+(1+q)Q+S+S1)*K2+M</t>
    </r>
    <r>
      <rPr>
        <vertAlign val="subscript"/>
        <sz val="14"/>
        <rFont val="Calibri"/>
        <family val="2"/>
        <scheme val="minor"/>
      </rPr>
      <t>gb</t>
    </r>
    <r>
      <rPr>
        <sz val="14"/>
        <rFont val="Calibri"/>
        <family val="2"/>
        <scheme val="minor"/>
      </rPr>
      <t>)*g</t>
    </r>
    <r>
      <rPr>
        <vertAlign val="subscript"/>
        <sz val="14"/>
        <rFont val="Calibri"/>
        <family val="2"/>
        <scheme val="minor"/>
      </rPr>
      <t>n</t>
    </r>
    <r>
      <rPr>
        <sz val="14"/>
        <rFont val="Calibri"/>
        <family val="2"/>
        <scheme val="minor"/>
      </rPr>
      <t xml:space="preserve"> =</t>
    </r>
  </si>
  <si>
    <r>
      <t>F</t>
    </r>
    <r>
      <rPr>
        <vertAlign val="subscript"/>
        <sz val="14"/>
        <rFont val="Calibri"/>
        <family val="2"/>
        <scheme val="minor"/>
      </rPr>
      <t>4</t>
    </r>
    <r>
      <rPr>
        <sz val="14"/>
        <rFont val="Calibri"/>
        <family val="2"/>
        <scheme val="minor"/>
      </rPr>
      <t xml:space="preserve"> = H*W*g</t>
    </r>
    <r>
      <rPr>
        <vertAlign val="subscript"/>
        <sz val="14"/>
        <rFont val="Calibri"/>
        <family val="2"/>
        <scheme val="minor"/>
      </rPr>
      <t>n</t>
    </r>
    <r>
      <rPr>
        <sz val="14"/>
        <rFont val="Calibri"/>
        <family val="2"/>
        <scheme val="minor"/>
      </rPr>
      <t>+F</t>
    </r>
    <r>
      <rPr>
        <vertAlign val="subscript"/>
        <sz val="14"/>
        <rFont val="Calibri"/>
        <family val="2"/>
        <scheme val="minor"/>
      </rPr>
      <t>k</t>
    </r>
    <r>
      <rPr>
        <sz val="14"/>
        <rFont val="Calibri"/>
        <family val="2"/>
        <scheme val="minor"/>
      </rPr>
      <t xml:space="preserve"> =</t>
    </r>
  </si>
  <si>
    <r>
      <t>η</t>
    </r>
    <r>
      <rPr>
        <vertAlign val="subscript"/>
        <sz val="14"/>
        <rFont val="Calibri"/>
        <family val="2"/>
        <scheme val="minor"/>
      </rPr>
      <t>SP</t>
    </r>
    <r>
      <rPr>
        <sz val="14"/>
        <rFont val="Calibri"/>
        <family val="2"/>
        <scheme val="minor"/>
      </rPr>
      <t xml:space="preserve"> =</t>
    </r>
  </si>
  <si>
    <r>
      <t>W</t>
    </r>
    <r>
      <rPr>
        <vertAlign val="subscript"/>
        <sz val="14"/>
        <rFont val="Calibri"/>
        <family val="2"/>
        <scheme val="minor"/>
      </rPr>
      <t>out</t>
    </r>
    <r>
      <rPr>
        <sz val="14"/>
        <rFont val="Calibri"/>
        <family val="2"/>
        <scheme val="minor"/>
      </rPr>
      <t xml:space="preserve"> =</t>
    </r>
  </si>
  <si>
    <r>
      <t>M</t>
    </r>
    <r>
      <rPr>
        <vertAlign val="subscript"/>
        <sz val="14"/>
        <rFont val="Calibri"/>
        <family val="2"/>
        <scheme val="minor"/>
      </rPr>
      <t>Cwt</t>
    </r>
    <r>
      <rPr>
        <sz val="14"/>
        <rFont val="Calibri"/>
        <family val="2"/>
        <scheme val="minor"/>
      </rPr>
      <t xml:space="preserve"> = (P+q.Q) =</t>
    </r>
  </si>
  <si>
    <r>
      <t>W</t>
    </r>
    <r>
      <rPr>
        <vertAlign val="subscript"/>
        <sz val="14"/>
        <rFont val="Calibri"/>
        <family val="2"/>
        <scheme val="minor"/>
      </rPr>
      <t>mid</t>
    </r>
    <r>
      <rPr>
        <sz val="14"/>
        <rFont val="Calibri"/>
        <family val="2"/>
        <scheme val="minor"/>
      </rPr>
      <t xml:space="preserve"> = (P+Q-M</t>
    </r>
    <r>
      <rPr>
        <vertAlign val="subscript"/>
        <sz val="14"/>
        <rFont val="Calibri"/>
        <family val="2"/>
        <scheme val="minor"/>
      </rPr>
      <t>CWT</t>
    </r>
    <r>
      <rPr>
        <sz val="14"/>
        <rFont val="Calibri"/>
        <family val="2"/>
        <scheme val="minor"/>
      </rPr>
      <t>)/r*V</t>
    </r>
    <r>
      <rPr>
        <vertAlign val="subscript"/>
        <sz val="14"/>
        <rFont val="Calibri"/>
        <family val="2"/>
        <scheme val="minor"/>
      </rPr>
      <t>Sr</t>
    </r>
    <r>
      <rPr>
        <sz val="14"/>
        <rFont val="Calibri"/>
        <family val="2"/>
        <scheme val="minor"/>
      </rPr>
      <t>*g</t>
    </r>
    <r>
      <rPr>
        <vertAlign val="subscript"/>
        <sz val="14"/>
        <rFont val="Calibri"/>
        <family val="2"/>
        <scheme val="minor"/>
      </rPr>
      <t>n</t>
    </r>
    <r>
      <rPr>
        <sz val="14"/>
        <rFont val="Calibri"/>
        <family val="2"/>
        <scheme val="minor"/>
      </rPr>
      <t>)/[η</t>
    </r>
    <r>
      <rPr>
        <vertAlign val="subscript"/>
        <sz val="14"/>
        <rFont val="Calibri"/>
        <family val="2"/>
        <scheme val="minor"/>
      </rPr>
      <t>g</t>
    </r>
    <r>
      <rPr>
        <sz val="14"/>
        <rFont val="Calibri"/>
        <family val="2"/>
        <scheme val="minor"/>
      </rPr>
      <t>*η</t>
    </r>
    <r>
      <rPr>
        <vertAlign val="subscript"/>
        <sz val="14"/>
        <rFont val="Calibri"/>
        <family val="2"/>
        <scheme val="minor"/>
      </rPr>
      <t>SP</t>
    </r>
    <r>
      <rPr>
        <sz val="14"/>
        <rFont val="Calibri"/>
        <family val="2"/>
        <scheme val="minor"/>
      </rPr>
      <t>] =</t>
    </r>
  </si>
  <si>
    <r>
      <t>A</t>
    </r>
    <r>
      <rPr>
        <vertAlign val="subscript"/>
        <sz val="14"/>
        <rFont val="Calibri"/>
        <family val="2"/>
        <scheme val="minor"/>
      </rPr>
      <t>1</t>
    </r>
    <r>
      <rPr>
        <sz val="14"/>
        <rFont val="Calibri"/>
        <family val="2"/>
        <scheme val="minor"/>
      </rPr>
      <t xml:space="preserve"> (A) =</t>
    </r>
  </si>
  <si>
    <r>
      <t>A</t>
    </r>
    <r>
      <rPr>
        <vertAlign val="subscript"/>
        <sz val="14"/>
        <rFont val="Calibri"/>
        <family val="2"/>
        <scheme val="minor"/>
      </rPr>
      <t>2</t>
    </r>
    <r>
      <rPr>
        <sz val="14"/>
        <rFont val="Calibri"/>
        <family val="2"/>
        <scheme val="minor"/>
      </rPr>
      <t xml:space="preserve"> (B) =</t>
    </r>
  </si>
  <si>
    <r>
      <t>A</t>
    </r>
    <r>
      <rPr>
        <vertAlign val="subscript"/>
        <sz val="14"/>
        <rFont val="Calibri"/>
        <family val="2"/>
        <scheme val="minor"/>
      </rPr>
      <t>3</t>
    </r>
    <r>
      <rPr>
        <sz val="14"/>
        <rFont val="Calibri"/>
        <family val="2"/>
        <scheme val="minor"/>
      </rPr>
      <t xml:space="preserve"> =</t>
    </r>
  </si>
  <si>
    <r>
      <t>A</t>
    </r>
    <r>
      <rPr>
        <vertAlign val="subscript"/>
        <sz val="14"/>
        <rFont val="Calibri"/>
        <family val="2"/>
        <scheme val="minor"/>
      </rPr>
      <t>total</t>
    </r>
    <r>
      <rPr>
        <sz val="14"/>
        <rFont val="Calibri"/>
        <family val="2"/>
        <scheme val="minor"/>
      </rPr>
      <t xml:space="preserve"> = A</t>
    </r>
    <r>
      <rPr>
        <vertAlign val="subscript"/>
        <sz val="14"/>
        <rFont val="Calibri"/>
        <family val="2"/>
        <scheme val="minor"/>
      </rPr>
      <t>1</t>
    </r>
    <r>
      <rPr>
        <sz val="14"/>
        <rFont val="Calibri"/>
        <family val="2"/>
        <scheme val="minor"/>
      </rPr>
      <t>+A</t>
    </r>
    <r>
      <rPr>
        <vertAlign val="subscript"/>
        <sz val="14"/>
        <rFont val="Calibri"/>
        <family val="2"/>
        <scheme val="minor"/>
      </rPr>
      <t>2</t>
    </r>
    <r>
      <rPr>
        <sz val="14"/>
        <rFont val="Calibri"/>
        <family val="2"/>
        <scheme val="minor"/>
      </rPr>
      <t>+A</t>
    </r>
    <r>
      <rPr>
        <vertAlign val="subscript"/>
        <sz val="14"/>
        <rFont val="Calibri"/>
        <family val="2"/>
        <scheme val="minor"/>
      </rPr>
      <t>3</t>
    </r>
    <r>
      <rPr>
        <sz val="14"/>
        <rFont val="Calibri"/>
        <family val="2"/>
        <scheme val="minor"/>
      </rPr>
      <t xml:space="preserve"> =</t>
    </r>
  </si>
  <si>
    <r>
      <t>i</t>
    </r>
    <r>
      <rPr>
        <vertAlign val="subscript"/>
        <sz val="14"/>
        <rFont val="Calibri"/>
        <family val="2"/>
        <scheme val="minor"/>
      </rPr>
      <t>PDPcar</t>
    </r>
    <r>
      <rPr>
        <sz val="14"/>
        <rFont val="Calibri"/>
        <family val="2"/>
        <scheme val="minor"/>
      </rPr>
      <t xml:space="preserve"> =</t>
    </r>
  </si>
  <si>
    <r>
      <t>d</t>
    </r>
    <r>
      <rPr>
        <vertAlign val="subscript"/>
        <sz val="13"/>
        <rFont val="Calibri"/>
        <family val="2"/>
        <scheme val="minor"/>
      </rPr>
      <t>SR</t>
    </r>
    <r>
      <rPr>
        <sz val="13"/>
        <rFont val="Calibri"/>
        <family val="2"/>
        <scheme val="minor"/>
      </rPr>
      <t xml:space="preserve"> =</t>
    </r>
  </si>
  <si>
    <r>
      <t>F</t>
    </r>
    <r>
      <rPr>
        <vertAlign val="subscript"/>
        <sz val="13"/>
        <rFont val="Calibri"/>
        <family val="2"/>
        <scheme val="minor"/>
      </rPr>
      <t>SR_min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</si>
  <si>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>cwt</t>
    </r>
    <r>
      <rPr>
        <sz val="13"/>
        <rFont val="Calibri"/>
        <family val="2"/>
        <scheme val="minor"/>
      </rPr>
      <t xml:space="preserve"> = P+q.Q =</t>
    </r>
  </si>
  <si>
    <r>
      <t>D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 xml:space="preserve"> =</t>
    </r>
  </si>
  <si>
    <r>
      <t>i</t>
    </r>
    <r>
      <rPr>
        <vertAlign val="subscript"/>
        <sz val="13"/>
        <rFont val="Calibri"/>
        <family val="2"/>
        <scheme val="minor"/>
      </rPr>
      <t>Pcar</t>
    </r>
    <r>
      <rPr>
        <sz val="13"/>
        <rFont val="Calibri"/>
        <family val="2"/>
        <scheme val="minor"/>
      </rPr>
      <t xml:space="preserve"> =</t>
    </r>
  </si>
  <si>
    <r>
      <t>i</t>
    </r>
    <r>
      <rPr>
        <vertAlign val="subscript"/>
        <sz val="13"/>
        <rFont val="Calibri"/>
        <family val="2"/>
        <scheme val="minor"/>
      </rPr>
      <t>Pcwt</t>
    </r>
    <r>
      <rPr>
        <sz val="13"/>
        <rFont val="Calibri"/>
        <family val="2"/>
        <scheme val="minor"/>
      </rPr>
      <t xml:space="preserve"> =</t>
    </r>
  </si>
  <si>
    <r>
      <t>i</t>
    </r>
    <r>
      <rPr>
        <vertAlign val="subscript"/>
        <sz val="13"/>
        <rFont val="Calibri"/>
        <family val="2"/>
        <scheme val="minor"/>
      </rPr>
      <t>DPcwt</t>
    </r>
    <r>
      <rPr>
        <sz val="13"/>
        <rFont val="Calibri"/>
        <family val="2"/>
        <scheme val="minor"/>
      </rPr>
      <t xml:space="preserve"> =</t>
    </r>
  </si>
  <si>
    <r>
      <t>l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 xml:space="preserve"> =</t>
    </r>
  </si>
  <si>
    <r>
      <t>V</t>
    </r>
    <r>
      <rPr>
        <vertAlign val="subscript"/>
        <sz val="13"/>
        <rFont val="Calibri"/>
        <family val="2"/>
        <scheme val="minor"/>
      </rPr>
      <t>SR</t>
    </r>
    <r>
      <rPr>
        <sz val="13"/>
        <rFont val="Calibri"/>
        <family val="2"/>
        <scheme val="minor"/>
      </rPr>
      <t xml:space="preserve"> =</t>
    </r>
  </si>
  <si>
    <r>
      <t>µ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 xml:space="preserve"> =</t>
    </r>
  </si>
  <si>
    <r>
      <t>µ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 xml:space="preserve"> = 0.1/(1+V</t>
    </r>
    <r>
      <rPr>
        <vertAlign val="subscript"/>
        <sz val="13"/>
        <rFont val="Calibri"/>
        <family val="2"/>
        <scheme val="minor"/>
      </rPr>
      <t>SR</t>
    </r>
    <r>
      <rPr>
        <sz val="13"/>
        <rFont val="Calibri"/>
        <family val="2"/>
        <scheme val="minor"/>
      </rPr>
      <t>/10) =</t>
    </r>
  </si>
  <si>
    <r>
      <t>µ</t>
    </r>
    <r>
      <rPr>
        <vertAlign val="subscript"/>
        <sz val="13"/>
        <rFont val="Calibri"/>
        <family val="2"/>
        <scheme val="minor"/>
      </rPr>
      <t>3</t>
    </r>
    <r>
      <rPr>
        <sz val="13"/>
        <rFont val="Calibri"/>
        <family val="2"/>
        <scheme val="minor"/>
      </rPr>
      <t xml:space="preserve"> =</t>
    </r>
  </si>
  <si>
    <r>
      <t>y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 xml:space="preserve"> =</t>
    </r>
  </si>
  <si>
    <r>
      <t>Q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 xml:space="preserve"> =1.25*Q =</t>
    </r>
  </si>
  <si>
    <r>
      <t>e^(f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.α) =</t>
    </r>
  </si>
  <si>
    <r>
      <t>T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/T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 xml:space="preserve"> =</t>
    </r>
  </si>
  <si>
    <r>
      <t>y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 xml:space="preserve"> =</t>
    </r>
  </si>
  <si>
    <r>
      <t>Q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 xml:space="preserve"> =0.0*Q =</t>
    </r>
  </si>
  <si>
    <r>
      <t>e^(f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>.α) =</t>
    </r>
  </si>
  <si>
    <r>
      <t>e^(f</t>
    </r>
    <r>
      <rPr>
        <vertAlign val="subscript"/>
        <sz val="13"/>
        <rFont val="Calibri"/>
        <family val="2"/>
        <scheme val="minor"/>
      </rPr>
      <t>3</t>
    </r>
    <r>
      <rPr>
        <sz val="13"/>
        <rFont val="Calibri"/>
        <family val="2"/>
        <scheme val="minor"/>
      </rPr>
      <t>.α) =</t>
    </r>
  </si>
  <si>
    <r>
      <t>N</t>
    </r>
    <r>
      <rPr>
        <vertAlign val="subscript"/>
        <sz val="13"/>
        <rFont val="Calibri"/>
        <family val="2"/>
        <scheme val="minor"/>
      </rPr>
      <t>ps</t>
    </r>
    <r>
      <rPr>
        <sz val="13"/>
        <rFont val="Calibri"/>
        <family val="2"/>
        <scheme val="minor"/>
      </rPr>
      <t xml:space="preserve"> =</t>
    </r>
  </si>
  <si>
    <r>
      <t>K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>=( D</t>
    </r>
    <r>
      <rPr>
        <vertAlign val="subscript"/>
        <sz val="13"/>
        <rFont val="Calibri"/>
        <family val="2"/>
        <scheme val="minor"/>
      </rPr>
      <t>t</t>
    </r>
    <r>
      <rPr>
        <sz val="13"/>
        <rFont val="Calibri"/>
        <family val="2"/>
        <scheme val="minor"/>
      </rPr>
      <t xml:space="preserve"> / D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 xml:space="preserve"> )</t>
    </r>
    <r>
      <rPr>
        <vertAlign val="superscript"/>
        <sz val="13"/>
        <color indexed="8"/>
        <rFont val="Calibri"/>
        <family val="2"/>
        <scheme val="minor"/>
      </rPr>
      <t xml:space="preserve">4 </t>
    </r>
    <r>
      <rPr>
        <sz val="13"/>
        <color indexed="8"/>
        <rFont val="Calibri"/>
        <family val="2"/>
        <scheme val="minor"/>
      </rPr>
      <t>=</t>
    </r>
  </si>
  <si>
    <r>
      <t>N</t>
    </r>
    <r>
      <rPr>
        <vertAlign val="subscript"/>
        <sz val="13"/>
        <rFont val="Calibri"/>
        <family val="2"/>
        <scheme val="minor"/>
      </rPr>
      <t>equiv(t)</t>
    </r>
    <r>
      <rPr>
        <sz val="13"/>
        <rFont val="Calibri"/>
        <family val="2"/>
        <scheme val="minor"/>
      </rPr>
      <t xml:space="preserve"> =</t>
    </r>
  </si>
  <si>
    <r>
      <t>N</t>
    </r>
    <r>
      <rPr>
        <vertAlign val="subscript"/>
        <sz val="13"/>
        <rFont val="Calibri"/>
        <family val="2"/>
        <scheme val="minor"/>
      </rPr>
      <t xml:space="preserve">equiv(p) </t>
    </r>
    <r>
      <rPr>
        <sz val="13"/>
        <rFont val="Calibri"/>
        <family val="2"/>
        <scheme val="minor"/>
      </rPr>
      <t>= K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 xml:space="preserve"> × (N</t>
    </r>
    <r>
      <rPr>
        <vertAlign val="subscript"/>
        <sz val="13"/>
        <rFont val="Calibri"/>
        <family val="2"/>
        <scheme val="minor"/>
      </rPr>
      <t>ps</t>
    </r>
    <r>
      <rPr>
        <sz val="13"/>
        <rFont val="Calibri"/>
        <family val="2"/>
        <scheme val="minor"/>
      </rPr>
      <t xml:space="preserve"> + 4 × N</t>
    </r>
    <r>
      <rPr>
        <vertAlign val="subscript"/>
        <sz val="13"/>
        <rFont val="Calibri"/>
        <family val="2"/>
        <scheme val="minor"/>
      </rPr>
      <t>pr</t>
    </r>
    <r>
      <rPr>
        <sz val="13"/>
        <rFont val="Calibri"/>
        <family val="2"/>
        <scheme val="minor"/>
      </rPr>
      <t>) =</t>
    </r>
  </si>
  <si>
    <r>
      <t>N</t>
    </r>
    <r>
      <rPr>
        <vertAlign val="subscript"/>
        <sz val="13"/>
        <color indexed="8"/>
        <rFont val="Calibri"/>
        <family val="2"/>
        <scheme val="minor"/>
      </rPr>
      <t xml:space="preserve">equiv </t>
    </r>
    <r>
      <rPr>
        <sz val="13"/>
        <color indexed="8"/>
        <rFont val="Calibri"/>
        <family val="2"/>
        <scheme val="minor"/>
      </rPr>
      <t>= N</t>
    </r>
    <r>
      <rPr>
        <vertAlign val="subscript"/>
        <sz val="13"/>
        <color indexed="8"/>
        <rFont val="Calibri"/>
        <family val="2"/>
        <scheme val="minor"/>
      </rPr>
      <t>equiv(t)</t>
    </r>
    <r>
      <rPr>
        <sz val="13"/>
        <color indexed="8"/>
        <rFont val="Calibri"/>
        <family val="2"/>
        <scheme val="minor"/>
      </rPr>
      <t>+N</t>
    </r>
    <r>
      <rPr>
        <vertAlign val="subscript"/>
        <sz val="13"/>
        <color indexed="8"/>
        <rFont val="Calibri"/>
        <family val="2"/>
        <scheme val="minor"/>
      </rPr>
      <t>equiv(p)</t>
    </r>
    <r>
      <rPr>
        <sz val="13"/>
        <color indexed="8"/>
        <rFont val="Calibri"/>
        <family val="2"/>
        <scheme val="minor"/>
      </rPr>
      <t xml:space="preserve"> =</t>
    </r>
  </si>
  <si>
    <r>
      <t>S</t>
    </r>
    <r>
      <rPr>
        <vertAlign val="subscript"/>
        <sz val="13"/>
        <rFont val="Calibri"/>
        <family val="2"/>
        <scheme val="minor"/>
      </rPr>
      <t>f_min</t>
    </r>
    <r>
      <rPr>
        <sz val="13"/>
        <rFont val="Calibri"/>
        <family val="2"/>
        <scheme val="minor"/>
      </rPr>
      <t>=10^(2.6834-(LOG10(695.85*10^6*N</t>
    </r>
    <r>
      <rPr>
        <vertAlign val="subscript"/>
        <sz val="13"/>
        <rFont val="Calibri"/>
        <family val="2"/>
        <scheme val="minor"/>
      </rPr>
      <t>equiv</t>
    </r>
    <r>
      <rPr>
        <sz val="13"/>
        <rFont val="Calibri"/>
        <family val="2"/>
        <scheme val="minor"/>
      </rPr>
      <t>/ (D</t>
    </r>
    <r>
      <rPr>
        <vertAlign val="subscript"/>
        <sz val="13"/>
        <rFont val="Calibri"/>
        <family val="2"/>
        <scheme val="minor"/>
      </rPr>
      <t>t</t>
    </r>
    <r>
      <rPr>
        <sz val="13"/>
        <rFont val="Calibri"/>
        <family val="2"/>
        <scheme val="minor"/>
      </rPr>
      <t>/d</t>
    </r>
    <r>
      <rPr>
        <vertAlign val="subscript"/>
        <sz val="13"/>
        <rFont val="Calibri"/>
        <family val="2"/>
        <scheme val="minor"/>
      </rPr>
      <t>r</t>
    </r>
    <r>
      <rPr>
        <sz val="13"/>
        <rFont val="Calibri"/>
        <family val="2"/>
        <scheme val="minor"/>
      </rPr>
      <t>)^8.567))/(LOG10(77.09*D</t>
    </r>
    <r>
      <rPr>
        <vertAlign val="subscript"/>
        <sz val="13"/>
        <rFont val="Calibri"/>
        <family val="2"/>
        <scheme val="minor"/>
      </rPr>
      <t>t</t>
    </r>
    <r>
      <rPr>
        <sz val="13"/>
        <rFont val="Calibri"/>
        <family val="2"/>
        <scheme val="minor"/>
      </rPr>
      <t>/d</t>
    </r>
    <r>
      <rPr>
        <vertAlign val="subscript"/>
        <sz val="13"/>
        <rFont val="Calibri"/>
        <family val="2"/>
        <scheme val="minor"/>
      </rPr>
      <t>r</t>
    </r>
    <r>
      <rPr>
        <sz val="13"/>
        <rFont val="Calibri"/>
        <family val="2"/>
        <scheme val="minor"/>
      </rPr>
      <t>)^(-2.895))) =</t>
    </r>
  </si>
  <si>
    <t>ظرفیت بار نامی</t>
  </si>
  <si>
    <r>
      <rPr>
        <sz val="13"/>
        <rFont val="Tahoma"/>
        <family val="2"/>
      </rPr>
      <t xml:space="preserve"> (از جدول)</t>
    </r>
    <r>
      <rPr>
        <sz val="13"/>
        <rFont val="Calibri"/>
        <family val="2"/>
        <scheme val="minor"/>
      </rPr>
      <t xml:space="preserve"> ω =</t>
    </r>
  </si>
  <si>
    <r>
      <t>Fy=(P*g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*(Y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>-Y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>)+F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>*(Y</t>
    </r>
    <r>
      <rPr>
        <vertAlign val="subscript"/>
        <sz val="13"/>
        <rFont val="Calibri"/>
        <family val="2"/>
        <scheme val="minor"/>
      </rPr>
      <t>i</t>
    </r>
    <r>
      <rPr>
        <sz val="13"/>
        <rFont val="Calibri"/>
        <family val="2"/>
        <scheme val="minor"/>
      </rPr>
      <t>-Y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>))/(n/2*h) =</t>
    </r>
  </si>
  <si>
    <r>
      <t>N/mm</t>
    </r>
    <r>
      <rPr>
        <vertAlign val="superscript"/>
        <sz val="12"/>
        <rFont val="Tahoma"/>
        <family val="2"/>
      </rPr>
      <t>2</t>
    </r>
  </si>
  <si>
    <r>
      <t>m/s</t>
    </r>
    <r>
      <rPr>
        <vertAlign val="superscript"/>
        <sz val="12"/>
        <rFont val="Tahoma"/>
        <family val="2"/>
      </rPr>
      <t>2</t>
    </r>
  </si>
  <si>
    <r>
      <t>mm</t>
    </r>
    <r>
      <rPr>
        <vertAlign val="superscript"/>
        <sz val="12"/>
        <rFont val="Tahoma"/>
        <family val="2"/>
      </rPr>
      <t>2</t>
    </r>
  </si>
  <si>
    <r>
      <t>mm</t>
    </r>
    <r>
      <rPr>
        <vertAlign val="superscript"/>
        <sz val="12"/>
        <rFont val="Tahoma"/>
        <family val="2"/>
      </rPr>
      <t>4</t>
    </r>
  </si>
  <si>
    <r>
      <t>mm</t>
    </r>
    <r>
      <rPr>
        <vertAlign val="superscript"/>
        <sz val="12"/>
        <rFont val="Tahoma"/>
        <family val="2"/>
      </rPr>
      <t>3</t>
    </r>
  </si>
  <si>
    <t xml:space="preserve">جرم واقعی طناب/ زنجیر جبران در سمت وزنه تعادل </t>
  </si>
  <si>
    <t>Lift Type =</t>
  </si>
  <si>
    <t>Persons =</t>
  </si>
  <si>
    <t>Stops =</t>
  </si>
  <si>
    <t>نیروی وارد بر هر سیم بکسل</t>
  </si>
  <si>
    <t xml:space="preserve">جرم واقعی طناب/ زنجیر جبران در سمت کابین </t>
  </si>
  <si>
    <t xml:space="preserve">جرم موثر طناب/ زنجیر جبران در سمت کابین </t>
  </si>
  <si>
    <t xml:space="preserve">جرم موثر طناب/ زنجیر جبران در سمت وزنه تعادل </t>
  </si>
  <si>
    <t>فاصله عمودي مرکز فلکه کششی تا مرکز فلکه هرزگرد</t>
  </si>
  <si>
    <t>جرم سيستم محرکه (موتور) و متعلقات (پایه موتور و..)</t>
  </si>
  <si>
    <r>
      <rPr>
        <sz val="12"/>
        <rFont val="Tahoma"/>
        <family val="2"/>
      </rPr>
      <t>زاویه پیچش طنابها روی فلکه کششی</t>
    </r>
    <r>
      <rPr>
        <sz val="11"/>
        <rFont val="Tahoma"/>
        <family val="2"/>
      </rPr>
      <t xml:space="preserve"> (محاسبه دستی) برای محاسبه مطابق شکل روبرو صفر بگذارید</t>
    </r>
  </si>
  <si>
    <t>تعداد فلکه‌های با خم معکوس</t>
  </si>
  <si>
    <r>
      <t>T</t>
    </r>
    <r>
      <rPr>
        <vertAlign val="subscript"/>
        <sz val="12"/>
        <rFont val="Tahoma"/>
        <family val="2"/>
      </rPr>
      <t>1</t>
    </r>
  </si>
  <si>
    <r>
      <t>T</t>
    </r>
    <r>
      <rPr>
        <vertAlign val="subscript"/>
        <sz val="12"/>
        <rFont val="Tahoma"/>
        <family val="2"/>
      </rPr>
      <t>2</t>
    </r>
  </si>
  <si>
    <r>
      <t>m</t>
    </r>
    <r>
      <rPr>
        <vertAlign val="subscript"/>
        <sz val="13"/>
        <rFont val="Calibri"/>
        <family val="2"/>
        <scheme val="minor"/>
      </rPr>
      <t xml:space="preserve">DPcwt </t>
    </r>
    <r>
      <rPr>
        <sz val="13"/>
        <rFont val="Calibri"/>
        <family val="2"/>
        <scheme val="minor"/>
      </rPr>
      <t>= J</t>
    </r>
    <r>
      <rPr>
        <vertAlign val="subscript"/>
        <sz val="13"/>
        <rFont val="Calibri"/>
        <family val="2"/>
        <scheme val="minor"/>
      </rPr>
      <t>DPcwt</t>
    </r>
    <r>
      <rPr>
        <sz val="13"/>
        <rFont val="Calibri"/>
        <family val="2"/>
        <scheme val="minor"/>
      </rPr>
      <t>/R</t>
    </r>
    <r>
      <rPr>
        <vertAlign val="super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</si>
  <si>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 xml:space="preserve">DPcar </t>
    </r>
    <r>
      <rPr>
        <sz val="13"/>
        <rFont val="Calibri"/>
        <family val="2"/>
        <scheme val="minor"/>
      </rPr>
      <t>= J</t>
    </r>
    <r>
      <rPr>
        <vertAlign val="subscript"/>
        <sz val="13"/>
        <rFont val="Calibri"/>
        <family val="2"/>
        <scheme val="minor"/>
      </rPr>
      <t>DPcar</t>
    </r>
    <r>
      <rPr>
        <sz val="13"/>
        <rFont val="Calibri"/>
        <family val="2"/>
        <scheme val="minor"/>
      </rPr>
      <t>/R</t>
    </r>
    <r>
      <rPr>
        <vertAlign val="super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</si>
  <si>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>Pcar</t>
    </r>
    <r>
      <rPr>
        <sz val="13"/>
        <rFont val="Calibri"/>
        <family val="2"/>
        <scheme val="minor"/>
      </rPr>
      <t>*i</t>
    </r>
    <r>
      <rPr>
        <vertAlign val="subscript"/>
        <sz val="13"/>
        <rFont val="Calibri"/>
        <family val="2"/>
        <scheme val="minor"/>
      </rPr>
      <t xml:space="preserve">Pcar </t>
    </r>
    <r>
      <rPr>
        <sz val="13"/>
        <rFont val="Calibri"/>
        <family val="2"/>
        <scheme val="minor"/>
      </rPr>
      <t>= J</t>
    </r>
    <r>
      <rPr>
        <vertAlign val="subscript"/>
        <sz val="13"/>
        <rFont val="Calibri"/>
        <family val="2"/>
        <scheme val="minor"/>
      </rPr>
      <t>Pcar</t>
    </r>
    <r>
      <rPr>
        <sz val="13"/>
        <rFont val="Calibri"/>
        <family val="2"/>
        <scheme val="minor"/>
      </rPr>
      <t>/R</t>
    </r>
    <r>
      <rPr>
        <vertAlign val="super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>*i</t>
    </r>
    <r>
      <rPr>
        <vertAlign val="subscript"/>
        <sz val="13"/>
        <rFont val="Calibri"/>
        <family val="2"/>
        <scheme val="minor"/>
      </rPr>
      <t>Pcar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</si>
  <si>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 xml:space="preserve">Pcwt </t>
    </r>
    <r>
      <rPr>
        <sz val="13"/>
        <rFont val="Calibri"/>
        <family val="2"/>
        <scheme val="minor"/>
      </rPr>
      <t>*i</t>
    </r>
    <r>
      <rPr>
        <vertAlign val="subscript"/>
        <sz val="13"/>
        <rFont val="Calibri"/>
        <family val="2"/>
        <scheme val="minor"/>
      </rPr>
      <t>Pcwt</t>
    </r>
    <r>
      <rPr>
        <sz val="13"/>
        <rFont val="Calibri"/>
        <family val="2"/>
        <scheme val="minor"/>
      </rPr>
      <t>= J</t>
    </r>
    <r>
      <rPr>
        <vertAlign val="subscript"/>
        <sz val="13"/>
        <rFont val="Calibri"/>
        <family val="2"/>
        <scheme val="minor"/>
      </rPr>
      <t>Pcwt</t>
    </r>
    <r>
      <rPr>
        <sz val="13"/>
        <rFont val="Calibri"/>
        <family val="2"/>
        <scheme val="minor"/>
      </rPr>
      <t>/R</t>
    </r>
    <r>
      <rPr>
        <vertAlign val="super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</si>
  <si>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 xml:space="preserve">PTD </t>
    </r>
    <r>
      <rPr>
        <sz val="13"/>
        <rFont val="Calibri"/>
        <family val="2"/>
        <scheme val="minor"/>
      </rPr>
      <t>= J</t>
    </r>
    <r>
      <rPr>
        <vertAlign val="subscript"/>
        <sz val="13"/>
        <rFont val="Calibri"/>
        <family val="2"/>
        <scheme val="minor"/>
      </rPr>
      <t>PTD</t>
    </r>
    <r>
      <rPr>
        <sz val="13"/>
        <rFont val="Calibri"/>
        <family val="2"/>
        <scheme val="minor"/>
      </rPr>
      <t>/R</t>
    </r>
    <r>
      <rPr>
        <vertAlign val="super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 xml:space="preserve"> =</t>
    </r>
  </si>
  <si>
    <r>
      <t>N</t>
    </r>
    <r>
      <rPr>
        <b/>
        <vertAlign val="subscript"/>
        <sz val="14"/>
        <rFont val="Calibri"/>
        <family val="2"/>
        <scheme val="minor"/>
      </rPr>
      <t>equiv(t)</t>
    </r>
  </si>
  <si>
    <t>U- Undercut grooves</t>
  </si>
  <si>
    <t>U- Undercut groove</t>
  </si>
  <si>
    <t>V- grooves</t>
  </si>
  <si>
    <r>
      <t>U- angle (</t>
    </r>
    <r>
      <rPr>
        <b/>
        <i/>
        <sz val="12"/>
        <color indexed="8"/>
        <rFont val="Arial"/>
        <family val="2"/>
      </rPr>
      <t>β</t>
    </r>
    <r>
      <rPr>
        <b/>
        <sz val="12"/>
        <color indexed="8"/>
        <rFont val="Arial"/>
        <family val="2"/>
      </rPr>
      <t>)</t>
    </r>
  </si>
  <si>
    <r>
      <t>V- angle (</t>
    </r>
    <r>
      <rPr>
        <b/>
        <sz val="12"/>
        <color indexed="8"/>
        <rFont val="Times New Roman"/>
        <family val="1"/>
        <charset val="204"/>
      </rPr>
      <t>γ</t>
    </r>
    <r>
      <rPr>
        <b/>
        <sz val="12"/>
        <color indexed="8"/>
        <rFont val="Arial"/>
        <family val="1"/>
        <charset val="204"/>
      </rPr>
      <t>)</t>
    </r>
  </si>
  <si>
    <t>V- angle (γ)</t>
  </si>
  <si>
    <r>
      <t>U- angle (</t>
    </r>
    <r>
      <rPr>
        <b/>
        <i/>
        <sz val="13"/>
        <color indexed="8"/>
        <rFont val="Arial"/>
        <family val="2"/>
      </rPr>
      <t>β</t>
    </r>
    <r>
      <rPr>
        <b/>
        <sz val="13"/>
        <color indexed="8"/>
        <rFont val="Arial"/>
        <family val="2"/>
      </rPr>
      <t>)</t>
    </r>
  </si>
  <si>
    <t>PAWO F7</t>
  </si>
  <si>
    <t>Rope type</t>
  </si>
  <si>
    <t>سازنده</t>
  </si>
  <si>
    <t>8x19 وارینگتون با مغز نیمه فولادی</t>
  </si>
  <si>
    <t>مدل</t>
  </si>
  <si>
    <t>رد</t>
  </si>
  <si>
    <t>Rope Dia</t>
  </si>
  <si>
    <t>گوستاو ولف Gustav Wolf</t>
  </si>
  <si>
    <t>G-Wolf F819 S-FE</t>
  </si>
  <si>
    <t>G-Wolf F819 W-FE</t>
  </si>
  <si>
    <t>G-Wolf PAWO F3</t>
  </si>
  <si>
    <t>G-Wolf PAWO F7</t>
  </si>
  <si>
    <t>G-Wolf PAWO F7 S</t>
  </si>
  <si>
    <t>وارینگتون با مغز نیمه فولادی</t>
  </si>
  <si>
    <t>وارینگتون با مغز فولادی</t>
  </si>
  <si>
    <t>ساختار</t>
  </si>
  <si>
    <t>8 x 19 W - IWRC 1570</t>
  </si>
  <si>
    <t>8 x 19 S - IWRC 1570</t>
  </si>
  <si>
    <t>8 x 19 W - NFC 1570</t>
  </si>
  <si>
    <t>8 x 19 S - NFC 1570</t>
  </si>
  <si>
    <t>سیل با مغز نیمه فولادی</t>
  </si>
  <si>
    <t>شرح ساختار</t>
  </si>
  <si>
    <t>فایفر دراکو PFEIFER DRAKO</t>
  </si>
  <si>
    <t>DRAKO 8 x 19 W- FC</t>
  </si>
  <si>
    <t>DRAKO 8x19 W- FC</t>
  </si>
  <si>
    <t>DRAKO 8 x 19 S- FC</t>
  </si>
  <si>
    <t>Minimum breaking strength</t>
  </si>
  <si>
    <t>DRAKO 210 TF</t>
  </si>
  <si>
    <t>DRAKO 250 T</t>
  </si>
  <si>
    <t>فایفر دراکو</t>
  </si>
  <si>
    <t>بروگ  Brugg</t>
  </si>
  <si>
    <t>8x19S-NFC</t>
  </si>
  <si>
    <t>8x19S-PWRC</t>
  </si>
  <si>
    <t>8x19S- PWRC 1370/1770</t>
  </si>
  <si>
    <t>سبل با مغز فولادی</t>
  </si>
  <si>
    <t>بروگ</t>
  </si>
  <si>
    <t>8x19 سیل با مغز فولادی</t>
  </si>
  <si>
    <t>DRAKO 8x19 S- FC</t>
  </si>
  <si>
    <t>BRUGG 8x19S-NFC</t>
  </si>
  <si>
    <t>BRUGG 8x19S-PWRC</t>
  </si>
  <si>
    <t>انواع دیگر</t>
  </si>
  <si>
    <t>Safety gear Type =</t>
  </si>
  <si>
    <t>گوستاو ولف</t>
  </si>
  <si>
    <t>8x19 S-FC</t>
  </si>
  <si>
    <t>8x19 W-FC</t>
  </si>
  <si>
    <t>8x19 S-IWRC</t>
  </si>
  <si>
    <t>8x19 W-IWRC</t>
  </si>
  <si>
    <t>8x19 W-PWRC</t>
  </si>
  <si>
    <r>
      <t>η</t>
    </r>
    <r>
      <rPr>
        <vertAlign val="subscript"/>
        <sz val="14"/>
        <rFont val="Calibri"/>
        <family val="2"/>
        <scheme val="minor"/>
      </rPr>
      <t>S</t>
    </r>
    <r>
      <rPr>
        <sz val="14"/>
        <rFont val="Calibri"/>
        <family val="2"/>
        <scheme val="minor"/>
      </rPr>
      <t xml:space="preserve"> =</t>
    </r>
  </si>
  <si>
    <t>نوع کفشک های راهنما</t>
  </si>
  <si>
    <t>Guide Shoe Type =</t>
  </si>
  <si>
    <t>لغزشی بی روغن</t>
  </si>
  <si>
    <t>لغزشی با روغن</t>
  </si>
  <si>
    <t>غلطکی</t>
  </si>
  <si>
    <t>نوع کفشک</t>
  </si>
  <si>
    <t>Sliding</t>
  </si>
  <si>
    <t>Sliding with oil</t>
  </si>
  <si>
    <t>Roller</t>
  </si>
  <si>
    <t>Guide shoe Type</t>
  </si>
  <si>
    <t>جدول راندمان چاه بر اساس نوع کفشک</t>
  </si>
  <si>
    <r>
      <t>T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=(P+Q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).g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/r+M</t>
    </r>
    <r>
      <rPr>
        <vertAlign val="subscript"/>
        <sz val="13"/>
        <rFont val="Calibri"/>
        <family val="2"/>
        <scheme val="minor"/>
      </rPr>
      <t>Comp</t>
    </r>
    <r>
      <rPr>
        <sz val="13"/>
        <rFont val="Calibri"/>
        <family val="2"/>
        <scheme val="minor"/>
      </rPr>
      <t>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/(2.r) +M</t>
    </r>
    <r>
      <rPr>
        <vertAlign val="subscript"/>
        <sz val="13"/>
        <rFont val="Calibri"/>
        <family val="2"/>
        <scheme val="minor"/>
      </rPr>
      <t>SRcar</t>
    </r>
    <r>
      <rPr>
        <sz val="13"/>
        <rFont val="Calibri"/>
        <family val="2"/>
        <scheme val="minor"/>
      </rPr>
      <t>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-FR</t>
    </r>
    <r>
      <rPr>
        <vertAlign val="subscript"/>
        <sz val="13"/>
        <rFont val="Calibri"/>
        <family val="2"/>
        <scheme val="minor"/>
      </rPr>
      <t>car</t>
    </r>
    <r>
      <rPr>
        <sz val="13"/>
        <rFont val="Calibri"/>
        <family val="2"/>
        <scheme val="minor"/>
      </rPr>
      <t>/r =</t>
    </r>
  </si>
  <si>
    <r>
      <t>T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>=(M</t>
    </r>
    <r>
      <rPr>
        <vertAlign val="subscript"/>
        <sz val="13"/>
        <rFont val="Calibri"/>
        <family val="2"/>
        <scheme val="minor"/>
      </rPr>
      <t>cwt</t>
    </r>
    <r>
      <rPr>
        <sz val="13"/>
        <rFont val="Calibri"/>
        <family val="2"/>
        <scheme val="minor"/>
      </rPr>
      <t>+M</t>
    </r>
    <r>
      <rPr>
        <vertAlign val="subscript"/>
        <sz val="13"/>
        <rFont val="Calibri"/>
        <family val="2"/>
        <scheme val="minor"/>
      </rPr>
      <t>CRcwt</t>
    </r>
    <r>
      <rPr>
        <sz val="13"/>
        <rFont val="Calibri"/>
        <family val="2"/>
        <scheme val="minor"/>
      </rPr>
      <t>).g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/r+M</t>
    </r>
    <r>
      <rPr>
        <vertAlign val="subscript"/>
        <sz val="13"/>
        <rFont val="Calibri"/>
        <family val="2"/>
        <scheme val="minor"/>
      </rPr>
      <t>Comp</t>
    </r>
    <r>
      <rPr>
        <sz val="13"/>
        <rFont val="Calibri"/>
        <family val="2"/>
        <scheme val="minor"/>
      </rPr>
      <t>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/(2.r)</t>
    </r>
    <r>
      <rPr>
        <sz val="13"/>
        <rFont val="Calibri"/>
        <family val="2"/>
        <scheme val="minor"/>
      </rPr>
      <t>+FR</t>
    </r>
    <r>
      <rPr>
        <vertAlign val="subscript"/>
        <sz val="13"/>
        <rFont val="Calibri"/>
        <family val="2"/>
        <scheme val="minor"/>
      </rPr>
      <t>cwt</t>
    </r>
    <r>
      <rPr>
        <sz val="13"/>
        <rFont val="Calibri"/>
        <family val="2"/>
        <scheme val="minor"/>
      </rPr>
      <t>/r =</t>
    </r>
  </si>
  <si>
    <r>
      <t>T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=(P+M</t>
    </r>
    <r>
      <rPr>
        <vertAlign val="subscript"/>
        <sz val="13"/>
        <rFont val="Calibri"/>
        <family val="2"/>
        <scheme val="minor"/>
      </rPr>
      <t>CRcar</t>
    </r>
    <r>
      <rPr>
        <sz val="13"/>
        <rFont val="Calibri"/>
        <family val="2"/>
        <scheme val="minor"/>
      </rPr>
      <t>+M</t>
    </r>
    <r>
      <rPr>
        <vertAlign val="subscript"/>
        <sz val="13"/>
        <rFont val="Calibri"/>
        <family val="2"/>
        <scheme val="minor"/>
      </rPr>
      <t>Trav</t>
    </r>
    <r>
      <rPr>
        <sz val="13"/>
        <rFont val="Calibri"/>
        <family val="2"/>
        <scheme val="minor"/>
      </rPr>
      <t>).g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/r+M</t>
    </r>
    <r>
      <rPr>
        <vertAlign val="subscript"/>
        <sz val="13"/>
        <rFont val="Calibri"/>
        <family val="2"/>
        <scheme val="minor"/>
      </rPr>
      <t>comp.</t>
    </r>
    <r>
      <rPr>
        <sz val="13"/>
        <rFont val="Calibri"/>
        <family val="2"/>
        <scheme val="minor"/>
      </rPr>
      <t>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/(2.r)+FR</t>
    </r>
    <r>
      <rPr>
        <vertAlign val="subscript"/>
        <sz val="13"/>
        <rFont val="Calibri"/>
        <family val="2"/>
        <scheme val="minor"/>
      </rPr>
      <t>car</t>
    </r>
    <r>
      <rPr>
        <sz val="13"/>
        <rFont val="Calibri"/>
        <family val="2"/>
        <scheme val="minor"/>
      </rPr>
      <t>/r =</t>
    </r>
  </si>
  <si>
    <r>
      <t>T</t>
    </r>
    <r>
      <rPr>
        <vertAlign val="subscript"/>
        <sz val="13"/>
        <rFont val="Calibri"/>
        <family val="2"/>
        <scheme val="minor"/>
      </rPr>
      <t xml:space="preserve">2 </t>
    </r>
    <r>
      <rPr>
        <sz val="13"/>
        <rFont val="Calibri"/>
        <family val="2"/>
        <scheme val="minor"/>
      </rPr>
      <t>= M</t>
    </r>
    <r>
      <rPr>
        <vertAlign val="subscript"/>
        <sz val="13"/>
        <rFont val="Calibri"/>
        <family val="2"/>
        <scheme val="minor"/>
      </rPr>
      <t>SRcwt.</t>
    </r>
    <r>
      <rPr>
        <sz val="13"/>
        <rFont val="Calibri"/>
        <family val="2"/>
        <scheme val="minor"/>
      </rPr>
      <t>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 xml:space="preserve"> =</t>
    </r>
  </si>
  <si>
    <t>“Omega”-value ω related to λ for steel with tensile stress of 370 N/mm2</t>
  </si>
  <si>
    <t>“Omega”-value ω related to λ for steel with tensile stress of 520 N/mm2</t>
  </si>
  <si>
    <t>λ</t>
  </si>
  <si>
    <r>
      <t>F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 xml:space="preserve"> = K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>*g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*(Q*(X</t>
    </r>
    <r>
      <rPr>
        <vertAlign val="subscript"/>
        <sz val="13"/>
        <rFont val="Calibri"/>
        <family val="2"/>
        <scheme val="minor"/>
      </rPr>
      <t>c</t>
    </r>
    <r>
      <rPr>
        <sz val="13"/>
        <rFont val="Calibri"/>
        <family val="2"/>
        <scheme val="minor"/>
      </rPr>
      <t>+D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>/8-X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>)+P*(X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>-X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>))/(n*h) =</t>
    </r>
  </si>
  <si>
    <r>
      <t>F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 xml:space="preserve"> = K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>*g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*(Q*(Y</t>
    </r>
    <r>
      <rPr>
        <vertAlign val="subscript"/>
        <sz val="13"/>
        <rFont val="Calibri"/>
        <family val="2"/>
        <scheme val="minor"/>
      </rPr>
      <t>c</t>
    </r>
    <r>
      <rPr>
        <sz val="13"/>
        <rFont val="Calibri"/>
        <family val="2"/>
        <scheme val="minor"/>
      </rPr>
      <t>-Y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>)+P*(Y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>-Y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>))/(n/2*h) =</t>
    </r>
  </si>
  <si>
    <r>
      <t>F</t>
    </r>
    <r>
      <rPr>
        <vertAlign val="subscript"/>
        <sz val="13"/>
        <rFont val="Calibri"/>
        <family val="2"/>
        <scheme val="minor"/>
      </rPr>
      <t>x</t>
    </r>
    <r>
      <rPr>
        <sz val="13"/>
        <rFont val="Calibri"/>
        <family val="2"/>
        <scheme val="minor"/>
      </rPr>
      <t xml:space="preserve"> = K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>*g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*(Q*(X</t>
    </r>
    <r>
      <rPr>
        <vertAlign val="subscript"/>
        <sz val="13"/>
        <rFont val="Calibri"/>
        <family val="2"/>
        <scheme val="minor"/>
      </rPr>
      <t>c</t>
    </r>
    <r>
      <rPr>
        <sz val="13"/>
        <rFont val="Calibri"/>
        <family val="2"/>
        <scheme val="minor"/>
      </rPr>
      <t>-X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>)+P*(X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>-X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>))/(n*h) =</t>
    </r>
  </si>
  <si>
    <r>
      <t>F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 xml:space="preserve"> = K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>*g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*(Q*(Y</t>
    </r>
    <r>
      <rPr>
        <vertAlign val="subscript"/>
        <sz val="13"/>
        <rFont val="Calibri"/>
        <family val="2"/>
        <scheme val="minor"/>
      </rPr>
      <t>c</t>
    </r>
    <r>
      <rPr>
        <sz val="13"/>
        <rFont val="Calibri"/>
        <family val="2"/>
        <scheme val="minor"/>
      </rPr>
      <t>+D</t>
    </r>
    <r>
      <rPr>
        <vertAlign val="subscript"/>
        <sz val="13"/>
        <rFont val="Calibri"/>
        <family val="2"/>
        <scheme val="minor"/>
      </rPr>
      <t>y</t>
    </r>
    <r>
      <rPr>
        <sz val="13"/>
        <rFont val="Calibri"/>
        <family val="2"/>
        <scheme val="minor"/>
      </rPr>
      <t>/8-Y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>)+P*(Y</t>
    </r>
    <r>
      <rPr>
        <vertAlign val="subscript"/>
        <sz val="13"/>
        <rFont val="Calibri"/>
        <family val="2"/>
        <scheme val="minor"/>
      </rPr>
      <t>p</t>
    </r>
    <r>
      <rPr>
        <sz val="13"/>
        <rFont val="Calibri"/>
        <family val="2"/>
        <scheme val="minor"/>
      </rPr>
      <t>-Y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>))/(n/2*h) =</t>
    </r>
  </si>
  <si>
    <t>حالت اول: بارگذاری کابین با 125% بار نامی</t>
  </si>
  <si>
    <t>در پایین ترین طبقه</t>
  </si>
  <si>
    <t>y2 =</t>
  </si>
  <si>
    <t xml:space="preserve">جرم طناب های تعلیق در سمت وزنه تعادل </t>
  </si>
  <si>
    <r>
      <t>M</t>
    </r>
    <r>
      <rPr>
        <vertAlign val="subscript"/>
        <sz val="13"/>
        <rFont val="Calibri"/>
        <family val="2"/>
        <scheme val="minor"/>
      </rPr>
      <t>SRcwt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</si>
  <si>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>CRcar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</si>
  <si>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>Trav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</si>
  <si>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>SR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</si>
  <si>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>CR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</si>
  <si>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>t</t>
    </r>
    <r>
      <rPr>
        <sz val="13"/>
        <rFont val="Calibri"/>
        <family val="2"/>
        <scheme val="minor"/>
      </rPr>
      <t xml:space="preserve"> =</t>
    </r>
  </si>
  <si>
    <t>در بالا ترین طبقه</t>
  </si>
  <si>
    <r>
      <t>M</t>
    </r>
    <r>
      <rPr>
        <vertAlign val="subscript"/>
        <sz val="13"/>
        <rFont val="Calibri"/>
        <family val="2"/>
        <scheme val="minor"/>
      </rPr>
      <t>SRcar</t>
    </r>
    <r>
      <rPr>
        <sz val="13"/>
        <rFont val="Calibri"/>
        <family val="2"/>
        <scheme val="minor"/>
      </rPr>
      <t xml:space="preserve"> = H*n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>*m</t>
    </r>
    <r>
      <rPr>
        <vertAlign val="subscript"/>
        <sz val="13"/>
        <rFont val="Calibri"/>
        <family val="2"/>
        <scheme val="minor"/>
      </rPr>
      <t>SR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</si>
  <si>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>CRcwt</t>
    </r>
    <r>
      <rPr>
        <sz val="13"/>
        <rFont val="Calibri"/>
        <family val="2"/>
        <scheme val="minor"/>
      </rPr>
      <t xml:space="preserve"> = H*n</t>
    </r>
    <r>
      <rPr>
        <vertAlign val="subscript"/>
        <sz val="13"/>
        <rFont val="Calibri"/>
        <family val="2"/>
        <scheme val="minor"/>
      </rPr>
      <t>C</t>
    </r>
    <r>
      <rPr>
        <sz val="13"/>
        <rFont val="Calibri"/>
        <family val="2"/>
        <scheme val="minor"/>
      </rPr>
      <t>*m</t>
    </r>
    <r>
      <rPr>
        <vertAlign val="subscript"/>
        <sz val="13"/>
        <rFont val="Calibri"/>
        <family val="2"/>
        <scheme val="minor"/>
      </rPr>
      <t>CR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</si>
  <si>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>SRcwt</t>
    </r>
    <r>
      <rPr>
        <sz val="13"/>
        <rFont val="Calibri"/>
        <family val="2"/>
        <scheme val="minor"/>
      </rPr>
      <t xml:space="preserve"> = H*n</t>
    </r>
    <r>
      <rPr>
        <vertAlign val="subscript"/>
        <sz val="13"/>
        <rFont val="Calibri"/>
        <family val="2"/>
        <scheme val="minor"/>
      </rPr>
      <t>S</t>
    </r>
    <r>
      <rPr>
        <sz val="13"/>
        <rFont val="Calibri"/>
        <family val="2"/>
        <scheme val="minor"/>
      </rPr>
      <t>*m</t>
    </r>
    <r>
      <rPr>
        <vertAlign val="subscript"/>
        <sz val="13"/>
        <rFont val="Calibri"/>
        <family val="2"/>
        <scheme val="minor"/>
      </rPr>
      <t>SR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</si>
  <si>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>CRcar</t>
    </r>
    <r>
      <rPr>
        <sz val="13"/>
        <rFont val="Calibri"/>
        <family val="2"/>
        <scheme val="minor"/>
      </rPr>
      <t xml:space="preserve"> = H*n</t>
    </r>
    <r>
      <rPr>
        <vertAlign val="subscript"/>
        <sz val="13"/>
        <rFont val="Calibri"/>
        <family val="2"/>
        <scheme val="minor"/>
      </rPr>
      <t>C</t>
    </r>
    <r>
      <rPr>
        <sz val="13"/>
        <rFont val="Calibri"/>
        <family val="2"/>
        <scheme val="minor"/>
      </rPr>
      <t>*m</t>
    </r>
    <r>
      <rPr>
        <vertAlign val="subscript"/>
        <sz val="13"/>
        <rFont val="Calibri"/>
        <family val="2"/>
        <scheme val="minor"/>
      </rPr>
      <t>CR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</si>
  <si>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>Trav</t>
    </r>
    <r>
      <rPr>
        <sz val="13"/>
        <rFont val="Calibri"/>
        <family val="2"/>
        <scheme val="minor"/>
      </rPr>
      <t xml:space="preserve"> = (0.25*H+0.5*y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>)*n</t>
    </r>
    <r>
      <rPr>
        <vertAlign val="subscript"/>
        <sz val="13"/>
        <rFont val="Calibri"/>
        <family val="2"/>
        <scheme val="minor"/>
      </rPr>
      <t>t</t>
    </r>
    <r>
      <rPr>
        <sz val="13"/>
        <rFont val="Calibri"/>
        <family val="2"/>
        <scheme val="minor"/>
      </rPr>
      <t>*m</t>
    </r>
    <r>
      <rPr>
        <vertAlign val="subscript"/>
        <sz val="13"/>
        <rFont val="Calibri"/>
        <family val="2"/>
        <scheme val="minor"/>
      </rPr>
      <t>Tr</t>
    </r>
    <r>
      <rPr>
        <sz val="13"/>
        <rFont val="Calibri"/>
        <family val="2"/>
        <scheme val="minor"/>
      </rPr>
      <t xml:space="preserve"> =</t>
    </r>
  </si>
  <si>
    <r>
      <t>T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=(P+Q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+M</t>
    </r>
    <r>
      <rPr>
        <vertAlign val="subscript"/>
        <sz val="13"/>
        <rFont val="Calibri"/>
        <family val="2"/>
        <scheme val="minor"/>
      </rPr>
      <t>CRcar</t>
    </r>
    <r>
      <rPr>
        <sz val="13"/>
        <rFont val="Calibri"/>
        <family val="2"/>
        <scheme val="minor"/>
      </rPr>
      <t>+M</t>
    </r>
    <r>
      <rPr>
        <vertAlign val="subscript"/>
        <sz val="13"/>
        <rFont val="Calibri"/>
        <family val="2"/>
        <scheme val="minor"/>
      </rPr>
      <t>Trav</t>
    </r>
    <r>
      <rPr>
        <sz val="13"/>
        <rFont val="Calibri"/>
        <family val="2"/>
        <scheme val="minor"/>
      </rPr>
      <t>).g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/r+M</t>
    </r>
    <r>
      <rPr>
        <vertAlign val="subscript"/>
        <sz val="13"/>
        <rFont val="Calibri"/>
        <family val="2"/>
        <scheme val="minor"/>
      </rPr>
      <t>Comp</t>
    </r>
    <r>
      <rPr>
        <sz val="13"/>
        <rFont val="Calibri"/>
        <family val="2"/>
        <scheme val="minor"/>
      </rPr>
      <t>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/(2.r)</t>
    </r>
    <r>
      <rPr>
        <sz val="13"/>
        <rFont val="Calibri"/>
        <family val="2"/>
        <scheme val="minor"/>
      </rPr>
      <t>+FR</t>
    </r>
    <r>
      <rPr>
        <vertAlign val="subscript"/>
        <sz val="13"/>
        <rFont val="Calibri"/>
        <family val="2"/>
        <scheme val="minor"/>
      </rPr>
      <t>car</t>
    </r>
    <r>
      <rPr>
        <sz val="13"/>
        <rFont val="Calibri"/>
        <family val="2"/>
        <scheme val="minor"/>
      </rPr>
      <t>/r =</t>
    </r>
  </si>
  <si>
    <r>
      <t>T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>=(M</t>
    </r>
    <r>
      <rPr>
        <vertAlign val="subscript"/>
        <sz val="13"/>
        <rFont val="Calibri"/>
        <family val="2"/>
        <scheme val="minor"/>
      </rPr>
      <t>cwt</t>
    </r>
    <r>
      <rPr>
        <sz val="13"/>
        <rFont val="Calibri"/>
        <family val="2"/>
        <scheme val="minor"/>
      </rPr>
      <t>).g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/r+M</t>
    </r>
    <r>
      <rPr>
        <vertAlign val="subscript"/>
        <sz val="13"/>
        <rFont val="Calibri"/>
        <family val="2"/>
        <scheme val="minor"/>
      </rPr>
      <t>Comp</t>
    </r>
    <r>
      <rPr>
        <sz val="13"/>
        <rFont val="Calibri"/>
        <family val="2"/>
        <scheme val="minor"/>
      </rPr>
      <t>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/(2.r)+M</t>
    </r>
    <r>
      <rPr>
        <vertAlign val="subscript"/>
        <sz val="13"/>
        <rFont val="Calibri"/>
        <family val="2"/>
        <scheme val="minor"/>
      </rPr>
      <t>SRcwt</t>
    </r>
    <r>
      <rPr>
        <sz val="13"/>
        <rFont val="Calibri"/>
        <family val="2"/>
        <scheme val="minor"/>
      </rPr>
      <t>.gn-FR</t>
    </r>
    <r>
      <rPr>
        <vertAlign val="subscript"/>
        <sz val="13"/>
        <rFont val="Calibri"/>
        <family val="2"/>
        <scheme val="minor"/>
      </rPr>
      <t>cwt</t>
    </r>
    <r>
      <rPr>
        <sz val="13"/>
        <rFont val="Calibri"/>
        <family val="2"/>
        <scheme val="minor"/>
      </rPr>
      <t>/r =</t>
    </r>
  </si>
  <si>
    <t>حالت دوم: توقف اضطراری کابین بدون بار (خالی)</t>
  </si>
  <si>
    <t>y1 =</t>
  </si>
  <si>
    <r>
      <t>M</t>
    </r>
    <r>
      <rPr>
        <vertAlign val="subscript"/>
        <sz val="13"/>
        <rFont val="Calibri"/>
        <family val="2"/>
        <scheme val="minor"/>
      </rPr>
      <t>CRcwt</t>
    </r>
    <r>
      <rPr>
        <sz val="13"/>
        <rFont val="Calibri"/>
        <family val="2"/>
        <scheme val="minor"/>
      </rPr>
      <t xml:space="preserve"> =</t>
    </r>
  </si>
  <si>
    <r>
      <t>M</t>
    </r>
    <r>
      <rPr>
        <vertAlign val="subscript"/>
        <sz val="13"/>
        <rFont val="Calibri"/>
        <family val="2"/>
        <scheme val="minor"/>
      </rPr>
      <t>SRcar</t>
    </r>
    <r>
      <rPr>
        <sz val="13"/>
        <rFont val="Calibri"/>
        <family val="2"/>
        <scheme val="minor"/>
      </rPr>
      <t xml:space="preserve"> =</t>
    </r>
  </si>
  <si>
    <r>
      <t>T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=(M</t>
    </r>
    <r>
      <rPr>
        <vertAlign val="subscript"/>
        <sz val="13"/>
        <rFont val="Calibri"/>
        <family val="2"/>
        <scheme val="minor"/>
      </rPr>
      <t>cwt</t>
    </r>
    <r>
      <rPr>
        <sz val="13"/>
        <rFont val="Calibri"/>
        <family val="2"/>
        <scheme val="minor"/>
      </rPr>
      <t>+M</t>
    </r>
    <r>
      <rPr>
        <vertAlign val="subscript"/>
        <sz val="13"/>
        <rFont val="Calibri"/>
        <family val="2"/>
        <scheme val="minor"/>
      </rPr>
      <t>CRcwt</t>
    </r>
    <r>
      <rPr>
        <sz val="13"/>
        <rFont val="Calibri"/>
        <family val="2"/>
        <scheme val="minor"/>
      </rPr>
      <t>).(g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-a)/r+M</t>
    </r>
    <r>
      <rPr>
        <vertAlign val="subscript"/>
        <sz val="13"/>
        <rFont val="Calibri"/>
        <family val="2"/>
        <scheme val="minor"/>
      </rPr>
      <t>Comp</t>
    </r>
    <r>
      <rPr>
        <sz val="13"/>
        <rFont val="Calibri"/>
        <family val="2"/>
        <scheme val="minor"/>
      </rPr>
      <t>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/(2.r)-(m</t>
    </r>
    <r>
      <rPr>
        <vertAlign val="subscript"/>
        <sz val="13"/>
        <rFont val="Calibri"/>
        <family val="2"/>
        <scheme val="minor"/>
      </rPr>
      <t>PTD</t>
    </r>
    <r>
      <rPr>
        <sz val="13"/>
        <rFont val="Calibri"/>
        <family val="2"/>
        <scheme val="minor"/>
      </rPr>
      <t>.a/r)-(m</t>
    </r>
    <r>
      <rPr>
        <vertAlign val="subscript"/>
        <sz val="13"/>
        <rFont val="Calibri"/>
        <family val="2"/>
        <scheme val="minor"/>
      </rPr>
      <t>DPcwt</t>
    </r>
    <r>
      <rPr>
        <sz val="13"/>
        <rFont val="Calibri"/>
        <family val="2"/>
        <scheme val="minor"/>
      </rPr>
      <t>.r.a)-(m</t>
    </r>
    <r>
      <rPr>
        <vertAlign val="subscript"/>
        <sz val="13"/>
        <rFont val="Calibri"/>
        <family val="2"/>
        <scheme val="minor"/>
      </rPr>
      <t>Pcwt</t>
    </r>
    <r>
      <rPr>
        <sz val="13"/>
        <rFont val="Calibri"/>
        <family val="2"/>
        <scheme val="minor"/>
      </rPr>
      <t>.i</t>
    </r>
    <r>
      <rPr>
        <vertAlign val="subscript"/>
        <sz val="13"/>
        <rFont val="Calibri"/>
        <family val="2"/>
        <scheme val="minor"/>
      </rPr>
      <t>Pcwt</t>
    </r>
    <r>
      <rPr>
        <sz val="13"/>
        <rFont val="Calibri"/>
        <family val="2"/>
        <scheme val="minor"/>
      </rPr>
      <t>.a)+FR</t>
    </r>
    <r>
      <rPr>
        <vertAlign val="subscript"/>
        <sz val="13"/>
        <rFont val="Calibri"/>
        <family val="2"/>
        <scheme val="minor"/>
      </rPr>
      <t>cwt</t>
    </r>
    <r>
      <rPr>
        <sz val="13"/>
        <rFont val="Calibri"/>
        <family val="2"/>
        <scheme val="minor"/>
      </rPr>
      <t>/r =</t>
    </r>
  </si>
  <si>
    <r>
      <t>T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>=(P+Q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>).(g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+a)/r+M</t>
    </r>
    <r>
      <rPr>
        <vertAlign val="subscript"/>
        <sz val="13"/>
        <rFont val="Calibri"/>
        <family val="2"/>
        <scheme val="minor"/>
      </rPr>
      <t>Comp</t>
    </r>
    <r>
      <rPr>
        <sz val="13"/>
        <rFont val="Calibri"/>
        <family val="2"/>
        <scheme val="minor"/>
      </rPr>
      <t>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/(2.r)+M</t>
    </r>
    <r>
      <rPr>
        <vertAlign val="subscript"/>
        <sz val="13"/>
        <rFont val="Calibri"/>
        <family val="2"/>
        <scheme val="minor"/>
      </rPr>
      <t>SRcar</t>
    </r>
    <r>
      <rPr>
        <sz val="13"/>
        <rFont val="Calibri"/>
        <family val="2"/>
        <scheme val="minor"/>
      </rPr>
      <t xml:space="preserve"> .(g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+r.a)+(m</t>
    </r>
    <r>
      <rPr>
        <vertAlign val="subscript"/>
        <sz val="13"/>
        <rFont val="Calibri"/>
        <family val="2"/>
        <scheme val="minor"/>
      </rPr>
      <t>PTD</t>
    </r>
    <r>
      <rPr>
        <sz val="13"/>
        <rFont val="Calibri"/>
        <family val="2"/>
        <scheme val="minor"/>
      </rPr>
      <t>.a/r)+(m</t>
    </r>
    <r>
      <rPr>
        <vertAlign val="subscript"/>
        <sz val="13"/>
        <rFont val="Calibri"/>
        <family val="2"/>
        <scheme val="minor"/>
      </rPr>
      <t>DPcar</t>
    </r>
    <r>
      <rPr>
        <sz val="13"/>
        <rFont val="Calibri"/>
        <family val="2"/>
        <scheme val="minor"/>
      </rPr>
      <t>.r.a)+(m</t>
    </r>
    <r>
      <rPr>
        <vertAlign val="subscript"/>
        <sz val="13"/>
        <rFont val="Calibri"/>
        <family val="2"/>
        <scheme val="minor"/>
      </rPr>
      <t>Pcar</t>
    </r>
    <r>
      <rPr>
        <sz val="13"/>
        <rFont val="Calibri"/>
        <family val="2"/>
        <scheme val="minor"/>
      </rPr>
      <t>.i</t>
    </r>
    <r>
      <rPr>
        <vertAlign val="subscript"/>
        <sz val="13"/>
        <rFont val="Calibri"/>
        <family val="2"/>
        <scheme val="minor"/>
      </rPr>
      <t>Pcar</t>
    </r>
    <r>
      <rPr>
        <sz val="13"/>
        <rFont val="Calibri"/>
        <family val="2"/>
        <scheme val="minor"/>
      </rPr>
      <t>.a)-FR</t>
    </r>
    <r>
      <rPr>
        <vertAlign val="subscript"/>
        <sz val="13"/>
        <rFont val="Calibri"/>
        <family val="2"/>
        <scheme val="minor"/>
      </rPr>
      <t>car</t>
    </r>
    <r>
      <rPr>
        <sz val="13"/>
        <rFont val="Calibri"/>
        <family val="2"/>
        <scheme val="minor"/>
      </rPr>
      <t>/r =</t>
    </r>
  </si>
  <si>
    <r>
      <t>T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=(M</t>
    </r>
    <r>
      <rPr>
        <vertAlign val="subscript"/>
        <sz val="13"/>
        <rFont val="Calibri"/>
        <family val="2"/>
        <scheme val="minor"/>
      </rPr>
      <t>cwt</t>
    </r>
    <r>
      <rPr>
        <sz val="13"/>
        <rFont val="Calibri"/>
        <family val="2"/>
        <scheme val="minor"/>
      </rPr>
      <t>).(g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+a)/r+M</t>
    </r>
    <r>
      <rPr>
        <vertAlign val="subscript"/>
        <sz val="13"/>
        <rFont val="Calibri"/>
        <family val="2"/>
        <scheme val="minor"/>
      </rPr>
      <t>Comp</t>
    </r>
    <r>
      <rPr>
        <sz val="13"/>
        <rFont val="Calibri"/>
        <family val="2"/>
        <scheme val="minor"/>
      </rPr>
      <t>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/(2.r)+(m</t>
    </r>
    <r>
      <rPr>
        <vertAlign val="subscript"/>
        <sz val="13"/>
        <rFont val="Calibri"/>
        <family val="2"/>
        <scheme val="minor"/>
      </rPr>
      <t>PTD</t>
    </r>
    <r>
      <rPr>
        <sz val="13"/>
        <rFont val="Calibri"/>
        <family val="2"/>
        <scheme val="minor"/>
      </rPr>
      <t>.a/r)+M</t>
    </r>
    <r>
      <rPr>
        <vertAlign val="subscript"/>
        <sz val="13"/>
        <rFont val="Calibri"/>
        <family val="2"/>
        <scheme val="minor"/>
      </rPr>
      <t xml:space="preserve">SRcwt </t>
    </r>
    <r>
      <rPr>
        <sz val="13"/>
        <rFont val="Calibri"/>
        <family val="2"/>
        <scheme val="minor"/>
      </rPr>
      <t>.(g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+r.a)+(m</t>
    </r>
    <r>
      <rPr>
        <vertAlign val="subscript"/>
        <sz val="13"/>
        <rFont val="Calibri"/>
        <family val="2"/>
        <scheme val="minor"/>
      </rPr>
      <t>DPcwt</t>
    </r>
    <r>
      <rPr>
        <sz val="13"/>
        <rFont val="Calibri"/>
        <family val="2"/>
        <scheme val="minor"/>
      </rPr>
      <t>.r.a)+(m</t>
    </r>
    <r>
      <rPr>
        <vertAlign val="subscript"/>
        <sz val="13"/>
        <rFont val="Calibri"/>
        <family val="2"/>
        <scheme val="minor"/>
      </rPr>
      <t>Pcwt</t>
    </r>
    <r>
      <rPr>
        <sz val="13"/>
        <rFont val="Calibri"/>
        <family val="2"/>
        <scheme val="minor"/>
      </rPr>
      <t>.i</t>
    </r>
    <r>
      <rPr>
        <vertAlign val="subscript"/>
        <sz val="13"/>
        <rFont val="Calibri"/>
        <family val="2"/>
        <scheme val="minor"/>
      </rPr>
      <t>Pcwt</t>
    </r>
    <r>
      <rPr>
        <sz val="13"/>
        <rFont val="Calibri"/>
        <family val="2"/>
        <scheme val="minor"/>
      </rPr>
      <t>.a)-FR</t>
    </r>
    <r>
      <rPr>
        <vertAlign val="subscript"/>
        <sz val="13"/>
        <rFont val="Calibri"/>
        <family val="2"/>
        <scheme val="minor"/>
      </rPr>
      <t>cwt</t>
    </r>
    <r>
      <rPr>
        <sz val="13"/>
        <rFont val="Calibri"/>
        <family val="2"/>
        <scheme val="minor"/>
      </rPr>
      <t>/r =</t>
    </r>
  </si>
  <si>
    <r>
      <t>T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>=(P+Q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>+M</t>
    </r>
    <r>
      <rPr>
        <vertAlign val="subscript"/>
        <sz val="13"/>
        <rFont val="Calibri"/>
        <family val="2"/>
        <scheme val="minor"/>
      </rPr>
      <t>CRcar</t>
    </r>
    <r>
      <rPr>
        <sz val="13"/>
        <rFont val="Calibri"/>
        <family val="2"/>
        <scheme val="minor"/>
      </rPr>
      <t>+M</t>
    </r>
    <r>
      <rPr>
        <vertAlign val="subscript"/>
        <sz val="13"/>
        <rFont val="Calibri"/>
        <family val="2"/>
        <scheme val="minor"/>
      </rPr>
      <t>Trav</t>
    </r>
    <r>
      <rPr>
        <sz val="13"/>
        <rFont val="Calibri"/>
        <family val="2"/>
        <scheme val="minor"/>
      </rPr>
      <t>).(g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-a)/r+M</t>
    </r>
    <r>
      <rPr>
        <vertAlign val="subscript"/>
        <sz val="13"/>
        <rFont val="Calibri"/>
        <family val="2"/>
        <scheme val="minor"/>
      </rPr>
      <t>Comp</t>
    </r>
    <r>
      <rPr>
        <sz val="13"/>
        <rFont val="Calibri"/>
        <family val="2"/>
        <scheme val="minor"/>
      </rPr>
      <t>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/(2.r)-(m</t>
    </r>
    <r>
      <rPr>
        <vertAlign val="subscript"/>
        <sz val="13"/>
        <rFont val="Calibri"/>
        <family val="2"/>
        <scheme val="minor"/>
      </rPr>
      <t>PTD</t>
    </r>
    <r>
      <rPr>
        <sz val="13"/>
        <rFont val="Calibri"/>
        <family val="2"/>
        <scheme val="minor"/>
      </rPr>
      <t>.a/r)-(m</t>
    </r>
    <r>
      <rPr>
        <vertAlign val="subscript"/>
        <sz val="13"/>
        <rFont val="Calibri"/>
        <family val="2"/>
        <scheme val="minor"/>
      </rPr>
      <t>DPcar</t>
    </r>
    <r>
      <rPr>
        <sz val="13"/>
        <rFont val="Calibri"/>
        <family val="2"/>
        <scheme val="minor"/>
      </rPr>
      <t>.r.a)-(m</t>
    </r>
    <r>
      <rPr>
        <vertAlign val="subscript"/>
        <sz val="13"/>
        <rFont val="Calibri"/>
        <family val="2"/>
        <scheme val="minor"/>
      </rPr>
      <t>Pcar</t>
    </r>
    <r>
      <rPr>
        <sz val="13"/>
        <rFont val="Calibri"/>
        <family val="2"/>
        <scheme val="minor"/>
      </rPr>
      <t>.i</t>
    </r>
    <r>
      <rPr>
        <vertAlign val="subscript"/>
        <sz val="13"/>
        <rFont val="Calibri"/>
        <family val="2"/>
        <scheme val="minor"/>
      </rPr>
      <t>Pcar</t>
    </r>
    <r>
      <rPr>
        <sz val="13"/>
        <rFont val="Calibri"/>
        <family val="2"/>
        <scheme val="minor"/>
      </rPr>
      <t>.a)+FR</t>
    </r>
    <r>
      <rPr>
        <vertAlign val="subscript"/>
        <sz val="13"/>
        <rFont val="Calibri"/>
        <family val="2"/>
        <scheme val="minor"/>
      </rPr>
      <t>car</t>
    </r>
    <r>
      <rPr>
        <sz val="13"/>
        <rFont val="Calibri"/>
        <family val="2"/>
        <scheme val="minor"/>
      </rPr>
      <t>/r =</t>
    </r>
  </si>
  <si>
    <r>
      <t>T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>=(M</t>
    </r>
    <r>
      <rPr>
        <vertAlign val="subscript"/>
        <sz val="13"/>
        <rFont val="Calibri"/>
        <family val="2"/>
        <scheme val="minor"/>
      </rPr>
      <t>cwt</t>
    </r>
    <r>
      <rPr>
        <sz val="13"/>
        <rFont val="Calibri"/>
        <family val="2"/>
        <scheme val="minor"/>
      </rPr>
      <t>+M</t>
    </r>
    <r>
      <rPr>
        <vertAlign val="subscript"/>
        <sz val="13"/>
        <rFont val="Calibri"/>
        <family val="2"/>
        <scheme val="minor"/>
      </rPr>
      <t>CRcwt</t>
    </r>
    <r>
      <rPr>
        <sz val="13"/>
        <rFont val="Calibri"/>
        <family val="2"/>
        <scheme val="minor"/>
      </rPr>
      <t>).(g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-a)/r+M</t>
    </r>
    <r>
      <rPr>
        <vertAlign val="subscript"/>
        <sz val="13"/>
        <rFont val="Calibri"/>
        <family val="2"/>
        <scheme val="minor"/>
      </rPr>
      <t>Comp</t>
    </r>
    <r>
      <rPr>
        <sz val="13"/>
        <rFont val="Calibri"/>
        <family val="2"/>
        <scheme val="minor"/>
      </rPr>
      <t>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/(2.r)-(m</t>
    </r>
    <r>
      <rPr>
        <vertAlign val="subscript"/>
        <sz val="13"/>
        <rFont val="Calibri"/>
        <family val="2"/>
        <scheme val="minor"/>
      </rPr>
      <t>PTD</t>
    </r>
    <r>
      <rPr>
        <sz val="13"/>
        <rFont val="Calibri"/>
        <family val="2"/>
        <scheme val="minor"/>
      </rPr>
      <t>.a/r)-(m</t>
    </r>
    <r>
      <rPr>
        <vertAlign val="subscript"/>
        <sz val="13"/>
        <rFont val="Calibri"/>
        <family val="2"/>
        <scheme val="minor"/>
      </rPr>
      <t>DPcwt</t>
    </r>
    <r>
      <rPr>
        <sz val="13"/>
        <rFont val="Calibri"/>
        <family val="2"/>
        <scheme val="minor"/>
      </rPr>
      <t>.r.a)-(m</t>
    </r>
    <r>
      <rPr>
        <vertAlign val="subscript"/>
        <sz val="13"/>
        <rFont val="Calibri"/>
        <family val="2"/>
        <scheme val="minor"/>
      </rPr>
      <t>Pcwt</t>
    </r>
    <r>
      <rPr>
        <sz val="13"/>
        <rFont val="Calibri"/>
        <family val="2"/>
        <scheme val="minor"/>
      </rPr>
      <t>.i</t>
    </r>
    <r>
      <rPr>
        <vertAlign val="subscript"/>
        <sz val="13"/>
        <rFont val="Calibri"/>
        <family val="2"/>
        <scheme val="minor"/>
      </rPr>
      <t>Pcwt</t>
    </r>
    <r>
      <rPr>
        <sz val="13"/>
        <rFont val="Calibri"/>
        <family val="2"/>
        <scheme val="minor"/>
      </rPr>
      <t>.a)+FR</t>
    </r>
    <r>
      <rPr>
        <vertAlign val="subscript"/>
        <sz val="13"/>
        <rFont val="Calibri"/>
        <family val="2"/>
        <scheme val="minor"/>
      </rPr>
      <t>cwt</t>
    </r>
    <r>
      <rPr>
        <sz val="13"/>
        <rFont val="Calibri"/>
        <family val="2"/>
        <scheme val="minor"/>
      </rPr>
      <t>/r =</t>
    </r>
  </si>
  <si>
    <r>
      <t>T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=(P+Q3).(g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+a)/r+M</t>
    </r>
    <r>
      <rPr>
        <vertAlign val="subscript"/>
        <sz val="13"/>
        <rFont val="Calibri"/>
        <family val="2"/>
        <scheme val="minor"/>
      </rPr>
      <t>Comp</t>
    </r>
    <r>
      <rPr>
        <sz val="13"/>
        <rFont val="Calibri"/>
        <family val="2"/>
        <scheme val="minor"/>
      </rPr>
      <t>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/(2.r)+M</t>
    </r>
    <r>
      <rPr>
        <vertAlign val="subscript"/>
        <sz val="13"/>
        <rFont val="Calibri"/>
        <family val="2"/>
        <scheme val="minor"/>
      </rPr>
      <t>SRcar</t>
    </r>
    <r>
      <rPr>
        <sz val="13"/>
        <rFont val="Calibri"/>
        <family val="2"/>
        <scheme val="minor"/>
      </rPr>
      <t xml:space="preserve"> .(g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+r.a)+(m</t>
    </r>
    <r>
      <rPr>
        <vertAlign val="subscript"/>
        <sz val="13"/>
        <rFont val="Calibri"/>
        <family val="2"/>
        <scheme val="minor"/>
      </rPr>
      <t>PTD</t>
    </r>
    <r>
      <rPr>
        <sz val="13"/>
        <rFont val="Calibri"/>
        <family val="2"/>
        <scheme val="minor"/>
      </rPr>
      <t>.a/r)+(m</t>
    </r>
    <r>
      <rPr>
        <vertAlign val="subscript"/>
        <sz val="13"/>
        <rFont val="Calibri"/>
        <family val="2"/>
        <scheme val="minor"/>
      </rPr>
      <t>DPcar</t>
    </r>
    <r>
      <rPr>
        <sz val="13"/>
        <rFont val="Calibri"/>
        <family val="2"/>
        <scheme val="minor"/>
      </rPr>
      <t>.r.a)+(m</t>
    </r>
    <r>
      <rPr>
        <vertAlign val="subscript"/>
        <sz val="13"/>
        <rFont val="Calibri"/>
        <family val="2"/>
        <scheme val="minor"/>
      </rPr>
      <t>Pcar</t>
    </r>
    <r>
      <rPr>
        <sz val="13"/>
        <rFont val="Calibri"/>
        <family val="2"/>
        <scheme val="minor"/>
      </rPr>
      <t>.i</t>
    </r>
    <r>
      <rPr>
        <vertAlign val="subscript"/>
        <sz val="13"/>
        <rFont val="Calibri"/>
        <family val="2"/>
        <scheme val="minor"/>
      </rPr>
      <t>Pcar</t>
    </r>
    <r>
      <rPr>
        <sz val="13"/>
        <rFont val="Calibri"/>
        <family val="2"/>
        <scheme val="minor"/>
      </rPr>
      <t>.a)-FR</t>
    </r>
    <r>
      <rPr>
        <vertAlign val="subscript"/>
        <sz val="13"/>
        <rFont val="Calibri"/>
        <family val="2"/>
        <scheme val="minor"/>
      </rPr>
      <t>car</t>
    </r>
    <r>
      <rPr>
        <sz val="13"/>
        <rFont val="Calibri"/>
        <family val="2"/>
        <scheme val="minor"/>
      </rPr>
      <t>/r =</t>
    </r>
  </si>
  <si>
    <t>حالت سوم: توقف اضطراری کابین با 100% بار نامی</t>
  </si>
  <si>
    <r>
      <t>T</t>
    </r>
    <r>
      <rPr>
        <vertAlign val="subscript"/>
        <sz val="13"/>
        <rFont val="Calibri"/>
        <family val="2"/>
        <scheme val="minor"/>
      </rPr>
      <t>2</t>
    </r>
    <r>
      <rPr>
        <sz val="13"/>
        <rFont val="Calibri"/>
        <family val="2"/>
        <scheme val="minor"/>
      </rPr>
      <t>=(M</t>
    </r>
    <r>
      <rPr>
        <vertAlign val="subscript"/>
        <sz val="13"/>
        <rFont val="Calibri"/>
        <family val="2"/>
        <scheme val="minor"/>
      </rPr>
      <t>cwt</t>
    </r>
    <r>
      <rPr>
        <sz val="13"/>
        <rFont val="Calibri"/>
        <family val="2"/>
        <scheme val="minor"/>
      </rPr>
      <t>).(g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+a)/r+M</t>
    </r>
    <r>
      <rPr>
        <vertAlign val="subscript"/>
        <sz val="13"/>
        <rFont val="Calibri"/>
        <family val="2"/>
        <scheme val="minor"/>
      </rPr>
      <t>Comp</t>
    </r>
    <r>
      <rPr>
        <sz val="13"/>
        <rFont val="Calibri"/>
        <family val="2"/>
        <scheme val="minor"/>
      </rPr>
      <t>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/(2.r)+(m</t>
    </r>
    <r>
      <rPr>
        <vertAlign val="subscript"/>
        <sz val="13"/>
        <rFont val="Calibri"/>
        <family val="2"/>
        <scheme val="minor"/>
      </rPr>
      <t>PTD</t>
    </r>
    <r>
      <rPr>
        <sz val="13"/>
        <rFont val="Calibri"/>
        <family val="2"/>
        <scheme val="minor"/>
      </rPr>
      <t>.a/r)+M</t>
    </r>
    <r>
      <rPr>
        <vertAlign val="subscript"/>
        <sz val="13"/>
        <rFont val="Calibri"/>
        <family val="2"/>
        <scheme val="minor"/>
      </rPr>
      <t xml:space="preserve">SRcwt </t>
    </r>
    <r>
      <rPr>
        <sz val="13"/>
        <rFont val="Calibri"/>
        <family val="2"/>
        <scheme val="minor"/>
      </rPr>
      <t>.(g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+r.a)+(m</t>
    </r>
    <r>
      <rPr>
        <vertAlign val="subscript"/>
        <sz val="13"/>
        <rFont val="Calibri"/>
        <family val="2"/>
        <scheme val="minor"/>
      </rPr>
      <t>DPcwt</t>
    </r>
    <r>
      <rPr>
        <sz val="13"/>
        <rFont val="Calibri"/>
        <family val="2"/>
        <scheme val="minor"/>
      </rPr>
      <t>.r.a)+(m</t>
    </r>
    <r>
      <rPr>
        <vertAlign val="subscript"/>
        <sz val="13"/>
        <rFont val="Calibri"/>
        <family val="2"/>
        <scheme val="minor"/>
      </rPr>
      <t>Pcwt</t>
    </r>
    <r>
      <rPr>
        <sz val="13"/>
        <rFont val="Calibri"/>
        <family val="2"/>
        <scheme val="minor"/>
      </rPr>
      <t>.i</t>
    </r>
    <r>
      <rPr>
        <vertAlign val="subscript"/>
        <sz val="13"/>
        <rFont val="Calibri"/>
        <family val="2"/>
        <scheme val="minor"/>
      </rPr>
      <t>Pcwt</t>
    </r>
    <r>
      <rPr>
        <sz val="13"/>
        <rFont val="Calibri"/>
        <family val="2"/>
        <scheme val="minor"/>
      </rPr>
      <t>.a)-FR</t>
    </r>
    <r>
      <rPr>
        <vertAlign val="subscript"/>
        <sz val="13"/>
        <rFont val="Calibri"/>
        <family val="2"/>
        <scheme val="minor"/>
      </rPr>
      <t>cwt</t>
    </r>
    <r>
      <rPr>
        <sz val="13"/>
        <rFont val="Calibri"/>
        <family val="2"/>
        <scheme val="minor"/>
      </rPr>
      <t>/r =</t>
    </r>
  </si>
  <si>
    <r>
      <t>T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=(P+Q</t>
    </r>
    <r>
      <rPr>
        <vertAlign val="subscript"/>
        <sz val="13"/>
        <rFont val="Calibri"/>
        <family val="2"/>
        <scheme val="minor"/>
      </rPr>
      <t>3</t>
    </r>
    <r>
      <rPr>
        <sz val="13"/>
        <rFont val="Calibri"/>
        <family val="2"/>
        <scheme val="minor"/>
      </rPr>
      <t>+M</t>
    </r>
    <r>
      <rPr>
        <vertAlign val="subscript"/>
        <sz val="13"/>
        <rFont val="Calibri"/>
        <family val="2"/>
        <scheme val="minor"/>
      </rPr>
      <t>CRcar</t>
    </r>
    <r>
      <rPr>
        <sz val="13"/>
        <rFont val="Calibri"/>
        <family val="2"/>
        <scheme val="minor"/>
      </rPr>
      <t>+M</t>
    </r>
    <r>
      <rPr>
        <vertAlign val="subscript"/>
        <sz val="13"/>
        <rFont val="Calibri"/>
        <family val="2"/>
        <scheme val="minor"/>
      </rPr>
      <t>Trav</t>
    </r>
    <r>
      <rPr>
        <sz val="13"/>
        <rFont val="Calibri"/>
        <family val="2"/>
        <scheme val="minor"/>
      </rPr>
      <t>).(g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-a)/r+M</t>
    </r>
    <r>
      <rPr>
        <vertAlign val="subscript"/>
        <sz val="13"/>
        <rFont val="Calibri"/>
        <family val="2"/>
        <scheme val="minor"/>
      </rPr>
      <t>Comp</t>
    </r>
    <r>
      <rPr>
        <sz val="13"/>
        <rFont val="Calibri"/>
        <family val="2"/>
        <scheme val="minor"/>
      </rPr>
      <t>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/(2.r)-(m</t>
    </r>
    <r>
      <rPr>
        <vertAlign val="subscript"/>
        <sz val="13"/>
        <rFont val="Calibri"/>
        <family val="2"/>
        <scheme val="minor"/>
      </rPr>
      <t>PTD</t>
    </r>
    <r>
      <rPr>
        <sz val="13"/>
        <rFont val="Calibri"/>
        <family val="2"/>
        <scheme val="minor"/>
      </rPr>
      <t>.a/r)-(m</t>
    </r>
    <r>
      <rPr>
        <vertAlign val="subscript"/>
        <sz val="13"/>
        <rFont val="Calibri"/>
        <family val="2"/>
        <scheme val="minor"/>
      </rPr>
      <t>DPcar</t>
    </r>
    <r>
      <rPr>
        <sz val="13"/>
        <rFont val="Calibri"/>
        <family val="2"/>
        <scheme val="minor"/>
      </rPr>
      <t>.r.a)-(m</t>
    </r>
    <r>
      <rPr>
        <vertAlign val="subscript"/>
        <sz val="13"/>
        <rFont val="Calibri"/>
        <family val="2"/>
        <scheme val="minor"/>
      </rPr>
      <t>Pcar</t>
    </r>
    <r>
      <rPr>
        <sz val="13"/>
        <rFont val="Calibri"/>
        <family val="2"/>
        <scheme val="minor"/>
      </rPr>
      <t>.i</t>
    </r>
    <r>
      <rPr>
        <vertAlign val="subscript"/>
        <sz val="13"/>
        <rFont val="Calibri"/>
        <family val="2"/>
        <scheme val="minor"/>
      </rPr>
      <t>Pcar</t>
    </r>
    <r>
      <rPr>
        <sz val="13"/>
        <rFont val="Calibri"/>
        <family val="2"/>
        <scheme val="minor"/>
      </rPr>
      <t>.a)+FR</t>
    </r>
    <r>
      <rPr>
        <vertAlign val="subscript"/>
        <sz val="13"/>
        <rFont val="Calibri"/>
        <family val="2"/>
        <scheme val="minor"/>
      </rPr>
      <t>car</t>
    </r>
    <r>
      <rPr>
        <sz val="13"/>
        <rFont val="Calibri"/>
        <family val="2"/>
        <scheme val="minor"/>
      </rPr>
      <t>/r =</t>
    </r>
  </si>
  <si>
    <r>
      <t>Q</t>
    </r>
    <r>
      <rPr>
        <vertAlign val="subscript"/>
        <sz val="13"/>
        <rFont val="Calibri"/>
        <family val="2"/>
        <scheme val="minor"/>
      </rPr>
      <t>3</t>
    </r>
    <r>
      <rPr>
        <sz val="13"/>
        <rFont val="Calibri"/>
        <family val="2"/>
        <scheme val="minor"/>
      </rPr>
      <t xml:space="preserve"> =1*Q =</t>
    </r>
  </si>
  <si>
    <t xml:space="preserve">توان مورد نیاز موتور با ظرفیت پر در پایین ترین طبقه </t>
  </si>
  <si>
    <r>
      <t>C</t>
    </r>
    <r>
      <rPr>
        <vertAlign val="subscript"/>
        <sz val="13"/>
        <rFont val="Calibri"/>
        <family val="2"/>
        <scheme val="minor"/>
      </rPr>
      <t>sMAX</t>
    </r>
    <r>
      <rPr>
        <sz val="13"/>
        <rFont val="Calibri"/>
        <family val="2"/>
        <scheme val="minor"/>
      </rPr>
      <t xml:space="preserve"> =</t>
    </r>
  </si>
  <si>
    <t>حداکثر بار استاتیکی مجاز روی شافت موتور</t>
  </si>
  <si>
    <t>چدنی</t>
  </si>
  <si>
    <t>Alberto Sassi</t>
  </si>
  <si>
    <t>فاصله در کابین نسبت به ریل راهنما در جهت X</t>
  </si>
  <si>
    <t>فاصله در کابین نسبت به ریل راهنما در جهت Y</t>
  </si>
  <si>
    <r>
      <t>q</t>
    </r>
    <r>
      <rPr>
        <vertAlign val="subscript"/>
        <sz val="14"/>
        <rFont val="Calibri"/>
        <family val="2"/>
        <scheme val="minor"/>
      </rPr>
      <t>m</t>
    </r>
    <r>
      <rPr>
        <sz val="14"/>
        <rFont val="Calibri"/>
        <family val="2"/>
        <scheme val="minor"/>
      </rPr>
      <t xml:space="preserve"> = (P+Q-M</t>
    </r>
    <r>
      <rPr>
        <vertAlign val="subscript"/>
        <sz val="14"/>
        <rFont val="Calibri"/>
        <family val="2"/>
        <scheme val="minor"/>
      </rPr>
      <t>Cwt</t>
    </r>
    <r>
      <rPr>
        <sz val="14"/>
        <rFont val="Calibri"/>
        <family val="2"/>
        <scheme val="minor"/>
      </rPr>
      <t>+|r*M</t>
    </r>
    <r>
      <rPr>
        <vertAlign val="subscript"/>
        <sz val="14"/>
        <rFont val="Calibri"/>
        <family val="2"/>
        <scheme val="minor"/>
      </rPr>
      <t>SR</t>
    </r>
    <r>
      <rPr>
        <sz val="14"/>
        <rFont val="Calibri"/>
        <family val="2"/>
        <scheme val="minor"/>
      </rPr>
      <t>-M</t>
    </r>
    <r>
      <rPr>
        <vertAlign val="subscript"/>
        <sz val="14"/>
        <rFont val="Calibri"/>
        <family val="2"/>
        <scheme val="minor"/>
      </rPr>
      <t>CR</t>
    </r>
    <r>
      <rPr>
        <sz val="14"/>
        <rFont val="Calibri"/>
        <family val="2"/>
        <scheme val="minor"/>
      </rPr>
      <t>|)/r =</t>
    </r>
  </si>
  <si>
    <r>
      <t>W</t>
    </r>
    <r>
      <rPr>
        <vertAlign val="subscript"/>
        <sz val="14"/>
        <rFont val="Calibri"/>
        <family val="2"/>
        <scheme val="minor"/>
      </rPr>
      <t>max</t>
    </r>
    <r>
      <rPr>
        <sz val="14"/>
        <rFont val="Calibri"/>
        <family val="2"/>
        <scheme val="minor"/>
      </rPr>
      <t xml:space="preserve"> = (</t>
    </r>
    <r>
      <rPr>
        <sz val="14"/>
        <rFont val="Calibri"/>
        <family val="2"/>
        <scheme val="minor"/>
      </rPr>
      <t>q</t>
    </r>
    <r>
      <rPr>
        <vertAlign val="subscript"/>
        <sz val="14"/>
        <rFont val="Calibri"/>
        <family val="2"/>
        <scheme val="minor"/>
      </rPr>
      <t>m</t>
    </r>
    <r>
      <rPr>
        <sz val="14"/>
        <rFont val="Calibri"/>
        <family val="2"/>
        <scheme val="minor"/>
      </rPr>
      <t>*V</t>
    </r>
    <r>
      <rPr>
        <vertAlign val="subscript"/>
        <sz val="14"/>
        <rFont val="Calibri"/>
        <family val="2"/>
        <scheme val="minor"/>
      </rPr>
      <t>Sr</t>
    </r>
    <r>
      <rPr>
        <sz val="14"/>
        <rFont val="Calibri"/>
        <family val="2"/>
        <scheme val="minor"/>
      </rPr>
      <t>*g</t>
    </r>
    <r>
      <rPr>
        <vertAlign val="subscript"/>
        <sz val="14"/>
        <rFont val="Calibri"/>
        <family val="2"/>
        <scheme val="minor"/>
      </rPr>
      <t>n</t>
    </r>
    <r>
      <rPr>
        <sz val="14"/>
        <rFont val="Calibri"/>
        <family val="2"/>
        <scheme val="minor"/>
      </rPr>
      <t>)/[η</t>
    </r>
    <r>
      <rPr>
        <vertAlign val="subscript"/>
        <sz val="14"/>
        <rFont val="Calibri"/>
        <family val="2"/>
        <scheme val="minor"/>
      </rPr>
      <t>g</t>
    </r>
    <r>
      <rPr>
        <sz val="14"/>
        <rFont val="Calibri"/>
        <family val="2"/>
        <scheme val="minor"/>
      </rPr>
      <t>*η</t>
    </r>
    <r>
      <rPr>
        <vertAlign val="subscript"/>
        <sz val="14"/>
        <rFont val="Calibri"/>
        <family val="2"/>
        <scheme val="minor"/>
      </rPr>
      <t>SP</t>
    </r>
    <r>
      <rPr>
        <sz val="14"/>
        <rFont val="Calibri"/>
        <family val="2"/>
        <scheme val="minor"/>
      </rPr>
      <t>] =</t>
    </r>
  </si>
  <si>
    <t>سانترال 2 لنگه</t>
  </si>
  <si>
    <r>
      <t>َA</t>
    </r>
    <r>
      <rPr>
        <vertAlign val="subscript"/>
        <sz val="13"/>
        <rFont val="Calibri"/>
        <family val="2"/>
        <scheme val="minor"/>
      </rPr>
      <t xml:space="preserve">1 </t>
    </r>
    <r>
      <rPr>
        <sz val="13"/>
        <rFont val="Calibri"/>
        <family val="2"/>
        <scheme val="minor"/>
      </rPr>
      <t>=</t>
    </r>
  </si>
  <si>
    <t>مساحت داخل کابین (محاسبه دستی) برای کابین مستطیل شکل (محاسبه خودکار) این را صفر بگذارید</t>
  </si>
  <si>
    <t>تعداد پیچش طناب ها روی فلکه
single wrap=1, double wrap=2</t>
  </si>
  <si>
    <r>
      <t>C</t>
    </r>
    <r>
      <rPr>
        <vertAlign val="subscript"/>
        <sz val="14"/>
        <rFont val="Calibri"/>
        <family val="2"/>
        <scheme val="minor"/>
      </rPr>
      <t>s</t>
    </r>
    <r>
      <rPr>
        <sz val="14"/>
        <rFont val="Calibri"/>
        <family val="2"/>
        <scheme val="minor"/>
      </rPr>
      <t xml:space="preserve">  = W</t>
    </r>
    <r>
      <rPr>
        <vertAlign val="subscript"/>
        <sz val="14"/>
        <rFont val="Calibri"/>
        <family val="2"/>
        <scheme val="minor"/>
      </rPr>
      <t>r</t>
    </r>
    <r>
      <rPr>
        <sz val="14"/>
        <rFont val="Calibri"/>
        <family val="2"/>
        <scheme val="minor"/>
      </rPr>
      <t>*((P+Q+M</t>
    </r>
    <r>
      <rPr>
        <vertAlign val="subscript"/>
        <sz val="14"/>
        <rFont val="Calibri"/>
        <family val="2"/>
        <scheme val="minor"/>
      </rPr>
      <t>Cwt</t>
    </r>
    <r>
      <rPr>
        <sz val="14"/>
        <rFont val="Calibri"/>
        <family val="2"/>
        <scheme val="minor"/>
      </rPr>
      <t>+M</t>
    </r>
    <r>
      <rPr>
        <vertAlign val="subscript"/>
        <sz val="14"/>
        <rFont val="Calibri"/>
        <family val="2"/>
        <scheme val="minor"/>
      </rPr>
      <t>CRcwt</t>
    </r>
    <r>
      <rPr>
        <sz val="14"/>
        <rFont val="Calibri"/>
        <family val="2"/>
        <scheme val="minor"/>
      </rPr>
      <t>+M</t>
    </r>
    <r>
      <rPr>
        <vertAlign val="subscript"/>
        <sz val="14"/>
        <rFont val="Calibri"/>
        <family val="2"/>
        <scheme val="minor"/>
      </rPr>
      <t>comp</t>
    </r>
    <r>
      <rPr>
        <sz val="14"/>
        <rFont val="Calibri"/>
        <family val="2"/>
        <scheme val="minor"/>
      </rPr>
      <t>)/r+M</t>
    </r>
    <r>
      <rPr>
        <vertAlign val="subscript"/>
        <sz val="14"/>
        <rFont val="Calibri"/>
        <family val="2"/>
        <scheme val="minor"/>
      </rPr>
      <t>SRcar</t>
    </r>
    <r>
      <rPr>
        <sz val="14"/>
        <rFont val="Calibri"/>
        <family val="2"/>
        <scheme val="minor"/>
      </rPr>
      <t xml:space="preserve"> )=</t>
    </r>
  </si>
  <si>
    <t xml:space="preserve">حالت چهارم:  کابین متوقف شده </t>
  </si>
  <si>
    <t>نشستن وزنه روی بافر، کابین بدون بار در بالا ترین طبقه</t>
  </si>
  <si>
    <t>نشستن کابین روی بافر، وزنه در بالا</t>
  </si>
  <si>
    <r>
      <t>T</t>
    </r>
    <r>
      <rPr>
        <vertAlign val="subscript"/>
        <sz val="13"/>
        <rFont val="Calibri"/>
        <family val="2"/>
        <scheme val="minor"/>
      </rPr>
      <t>1</t>
    </r>
    <r>
      <rPr>
        <sz val="13"/>
        <rFont val="Calibri"/>
        <family val="2"/>
        <scheme val="minor"/>
      </rPr>
      <t>=(M</t>
    </r>
    <r>
      <rPr>
        <vertAlign val="subscript"/>
        <sz val="13"/>
        <rFont val="Calibri"/>
        <family val="2"/>
        <scheme val="minor"/>
      </rPr>
      <t>Cwt</t>
    </r>
    <r>
      <rPr>
        <sz val="13"/>
        <rFont val="Calibri"/>
        <family val="2"/>
        <scheme val="minor"/>
      </rPr>
      <t>+M</t>
    </r>
    <r>
      <rPr>
        <vertAlign val="subscript"/>
        <sz val="13"/>
        <rFont val="Calibri"/>
        <family val="2"/>
        <scheme val="minor"/>
      </rPr>
      <t>CRcwt</t>
    </r>
    <r>
      <rPr>
        <sz val="13"/>
        <rFont val="Calibri"/>
        <family val="2"/>
        <scheme val="minor"/>
      </rPr>
      <t>).g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/r+M</t>
    </r>
    <r>
      <rPr>
        <vertAlign val="subscript"/>
        <sz val="13"/>
        <rFont val="Calibri"/>
        <family val="2"/>
        <scheme val="minor"/>
      </rPr>
      <t>comp.</t>
    </r>
    <r>
      <rPr>
        <sz val="13"/>
        <rFont val="Calibri"/>
        <family val="2"/>
        <scheme val="minor"/>
      </rPr>
      <t>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>/(2.r)+FR</t>
    </r>
    <r>
      <rPr>
        <vertAlign val="subscript"/>
        <sz val="13"/>
        <rFont val="Calibri"/>
        <family val="2"/>
        <scheme val="minor"/>
      </rPr>
      <t>cwt</t>
    </r>
    <r>
      <rPr>
        <sz val="13"/>
        <rFont val="Calibri"/>
        <family val="2"/>
        <scheme val="minor"/>
      </rPr>
      <t>/r =</t>
    </r>
  </si>
  <si>
    <r>
      <t>T</t>
    </r>
    <r>
      <rPr>
        <vertAlign val="subscript"/>
        <sz val="13"/>
        <rFont val="Calibri"/>
        <family val="2"/>
        <scheme val="minor"/>
      </rPr>
      <t xml:space="preserve">2 </t>
    </r>
    <r>
      <rPr>
        <sz val="13"/>
        <rFont val="Calibri"/>
        <family val="2"/>
        <scheme val="minor"/>
      </rPr>
      <t>= M</t>
    </r>
    <r>
      <rPr>
        <vertAlign val="subscript"/>
        <sz val="13"/>
        <rFont val="Calibri"/>
        <family val="2"/>
        <scheme val="minor"/>
      </rPr>
      <t>SRcar.</t>
    </r>
    <r>
      <rPr>
        <sz val="13"/>
        <rFont val="Calibri"/>
        <family val="2"/>
        <scheme val="minor"/>
      </rPr>
      <t>g</t>
    </r>
    <r>
      <rPr>
        <vertAlign val="subscript"/>
        <sz val="13"/>
        <rFont val="Calibri"/>
        <family val="2"/>
        <scheme val="minor"/>
      </rPr>
      <t>n</t>
    </r>
    <r>
      <rPr>
        <sz val="13"/>
        <rFont val="Calibri"/>
        <family val="2"/>
        <scheme val="minor"/>
      </rPr>
      <t xml:space="preserve"> =</t>
    </r>
  </si>
  <si>
    <t>بار استاتيکي وارد بر محور پولی کشش</t>
  </si>
  <si>
    <t>جرم کاهش یافته (تقریبی) فلکه ها بر اساس  تعداد شیار و قطر فلکه به کیلوگرم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</si>
</sst>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3" formatCode="_(* #,##0.00_);_(* \(#,##0.00\);_(* &quot;-&quot;??_);_(@_)"/>
    <numFmt numFmtId="164" formatCode="#,##0.0"/>
    <numFmt numFmtId="165" formatCode="&quot;Ok&quot;;[Red]\(&quot;Not. Ok&quot;\)"/>
    <numFmt numFmtId="166" formatCode="&quot;≤5mm,&lt;- OK-&gt;&quot;;[Red]\(&quot;&gt;5mm,&lt;-ERROR-&gt;&quot;\)"/>
    <numFmt numFmtId="167" formatCode="#,##0.000"/>
    <numFmt numFmtId="168" formatCode="_(* #,##0_);_(* \(#,##0\);_(* &quot;-&quot;??_);_(@_)"/>
    <numFmt numFmtId="169" formatCode="0.0"/>
    <numFmt numFmtId="170" formatCode="0.000"/>
    <numFmt numFmtId="171" formatCode="###0;###0"/>
    <numFmt numFmtId="172" formatCode="#,##0;#,##0"/>
    <numFmt numFmtId="173" formatCode="#,##0.0;#,##0.0"/>
    <numFmt numFmtId="174" formatCode="&quot;≤e^f*a,&lt;- OK-&gt;&quot;;[Red]&quot;&gt;e^f*α, &lt;-ERROR-&gt;&quot;"/>
    <numFmt numFmtId="175" formatCode="&quot;≤e^f*a  &lt;- OK-&gt;&quot;;[Red]&quot;&gt;e^f*α  &lt;-ERROR-&gt;&quot;"/>
    <numFmt numFmtId="176" formatCode="&quot;&gt;e^f*a  &lt;- OK-&gt;&quot;;[Red]&quot;≤e^f*α  &lt;-ERROR-&gt;&quot;"/>
    <numFmt numFmtId="177" formatCode="&quot;&lt;- OK-&gt;   Atotal ≤ Amax =&quot;;[Red]&quot;&lt;-ERROR-&gt;  Atotal &gt; Amax =&quot;"/>
    <numFmt numFmtId="178" formatCode="&quot;&lt;- OK-&gt;   Atotal ≥  Amin =&quot;;[Red]&quot;&lt;-ERROR-&gt;  Atotal &lt; Amin =&quot;"/>
    <numFmt numFmtId="179" formatCode="&quot;&lt;- OK-&gt;   Sf_min ≤ Sf_cur =&quot;;[Red]&quot;&lt;-ERROR-&gt;  Sf_min &gt; Sf_cur =&quot;"/>
    <numFmt numFmtId="180" formatCode="&quot;&lt;- OK-&gt;   D/dr ≥ 40 &quot;;[Red]&quot;&lt;-ERROR-&gt;  Dt/dr &lt; 40 &quot;"/>
    <numFmt numFmtId="181" formatCode="&quot;&lt;- OK-&gt;   Q ≥ persons*75 &quot;;[Red]&quot;&lt;-ERROR-&gt;  Q &lt; Persons*75 &quot;"/>
    <numFmt numFmtId="182" formatCode="#\°"/>
    <numFmt numFmtId="183" formatCode="#,##0.000;#,##0.000"/>
    <numFmt numFmtId="184" formatCode="###0.0;###0.0"/>
    <numFmt numFmtId="185" formatCode="0.0000"/>
    <numFmt numFmtId="186" formatCode="0.00000"/>
    <numFmt numFmtId="187" formatCode="&quot;≤165(σperm), &lt;- OK-&gt;&quot;;[Red]\(&quot;&gt;165(σperm), &lt;-ERROR-&gt;&quot;\)"/>
    <numFmt numFmtId="188" formatCode="&quot;≤205 (σperm), &lt;- OK-&gt;&quot;;[Red]\(&quot;&gt;205 (σperm), &lt;-ERROR-&gt;&quot;\)"/>
  </numFmts>
  <fonts count="60">
    <font>
      <sz val="14"/>
      <color theme="1"/>
      <name val="Calibri"/>
      <family val="2"/>
      <scheme val="minor"/>
    </font>
    <font>
      <sz val="10"/>
      <name val="Arial"/>
      <family val="2"/>
    </font>
    <font>
      <sz val="12"/>
      <name val="Tahoma"/>
      <family val="2"/>
    </font>
    <font>
      <b/>
      <sz val="12"/>
      <name val="Tahoma"/>
      <family val="2"/>
    </font>
    <font>
      <b/>
      <sz val="12"/>
      <name val="Arial"/>
      <family val="2"/>
    </font>
    <font>
      <sz val="13"/>
      <name val="Tahoma"/>
      <family val="2"/>
    </font>
    <font>
      <b/>
      <sz val="14"/>
      <name val="Arial"/>
      <family val="2"/>
    </font>
    <font>
      <sz val="12"/>
      <name val="Times New Roman"/>
      <family val="1"/>
    </font>
    <font>
      <b/>
      <sz val="14"/>
      <name val="Tahoma"/>
      <family val="2"/>
    </font>
    <font>
      <vertAlign val="subscript"/>
      <sz val="10"/>
      <name val="Arial"/>
      <family val="2"/>
    </font>
    <font>
      <sz val="9"/>
      <color indexed="9"/>
      <name val="Arial"/>
      <family val="1"/>
      <charset val="204"/>
    </font>
    <font>
      <sz val="9"/>
      <color indexed="8"/>
      <name val="Arial"/>
      <family val="2"/>
    </font>
    <font>
      <sz val="9"/>
      <color indexed="9"/>
      <name val="Arial"/>
      <family val="2"/>
    </font>
    <font>
      <b/>
      <sz val="11"/>
      <color theme="1"/>
      <name val="Arial"/>
      <family val="2"/>
    </font>
    <font>
      <sz val="8"/>
      <color rgb="FF000000"/>
      <name val="Tahoma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name val="Tahoma"/>
      <family val="2"/>
    </font>
    <font>
      <sz val="14"/>
      <name val="Tahoma"/>
      <family val="2"/>
    </font>
    <font>
      <sz val="14"/>
      <color theme="1"/>
      <name val="Calibri"/>
      <family val="2"/>
      <scheme val="minor"/>
    </font>
    <font>
      <sz val="11"/>
      <name val="Tahoma"/>
      <family val="2"/>
    </font>
    <font>
      <sz val="14"/>
      <color rgb="FF00B050"/>
      <name val="Calibri"/>
      <family val="2"/>
      <scheme val="minor"/>
    </font>
    <font>
      <sz val="14"/>
      <color theme="1"/>
      <name val="0 Shiraz"/>
      <charset val="178"/>
    </font>
    <font>
      <b/>
      <sz val="12"/>
      <color theme="1"/>
      <name val="Tahoma"/>
      <family val="2"/>
    </font>
    <font>
      <sz val="14"/>
      <color theme="1"/>
      <name val="Tahoma"/>
      <family val="2"/>
    </font>
    <font>
      <sz val="10"/>
      <name val="Times New Roman"/>
      <family val="1"/>
      <charset val="204"/>
    </font>
    <font>
      <sz val="14"/>
      <name val="Calibri"/>
      <family val="2"/>
      <scheme val="minor"/>
    </font>
    <font>
      <vertAlign val="subscript"/>
      <sz val="14"/>
      <name val="Calibri"/>
      <family val="2"/>
      <scheme val="minor"/>
    </font>
    <font>
      <sz val="13"/>
      <name val="Calibri"/>
      <family val="2"/>
      <scheme val="minor"/>
    </font>
    <font>
      <vertAlign val="subscript"/>
      <sz val="13"/>
      <name val="Calibri"/>
      <family val="2"/>
      <scheme val="minor"/>
    </font>
    <font>
      <i/>
      <sz val="13"/>
      <name val="Calibri"/>
      <family val="2"/>
      <scheme val="minor"/>
    </font>
    <font>
      <i/>
      <vertAlign val="subscript"/>
      <sz val="13"/>
      <name val="Calibri"/>
      <family val="2"/>
      <scheme val="minor"/>
    </font>
    <font>
      <i/>
      <vertAlign val="superscript"/>
      <sz val="13"/>
      <name val="Calibri"/>
      <family val="2"/>
      <scheme val="minor"/>
    </font>
    <font>
      <vertAlign val="superscript"/>
      <sz val="12"/>
      <name val="Tahoma"/>
      <family val="2"/>
    </font>
    <font>
      <vertAlign val="superscript"/>
      <sz val="13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vertAlign val="subscript"/>
      <sz val="13"/>
      <color indexed="8"/>
      <name val="Calibri"/>
      <family val="2"/>
      <scheme val="minor"/>
    </font>
    <font>
      <vertAlign val="subscript"/>
      <sz val="12"/>
      <name val="Tahoma"/>
      <family val="2"/>
    </font>
    <font>
      <vertAlign val="superscript"/>
      <sz val="13"/>
      <name val="Calibri"/>
      <family val="2"/>
      <scheme val="minor"/>
    </font>
    <font>
      <b/>
      <sz val="12"/>
      <color indexed="8"/>
      <name val="Arial"/>
      <family val="1"/>
      <charset val="204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b/>
      <sz val="12"/>
      <color indexed="8"/>
      <name val="Times New Roman"/>
      <family val="1"/>
      <charset val="204"/>
    </font>
    <font>
      <b/>
      <sz val="14"/>
      <name val="Calibri"/>
      <family val="2"/>
      <scheme val="minor"/>
    </font>
    <font>
      <b/>
      <vertAlign val="subscript"/>
      <sz val="14"/>
      <name val="Calibri"/>
      <family val="2"/>
      <scheme val="minor"/>
    </font>
    <font>
      <sz val="10"/>
      <color indexed="8"/>
      <name val="Arial"/>
      <family val="1"/>
      <charset val="204"/>
    </font>
    <font>
      <b/>
      <sz val="13"/>
      <color indexed="8"/>
      <name val="Arial"/>
      <family val="2"/>
    </font>
    <font>
      <b/>
      <i/>
      <sz val="13"/>
      <color indexed="8"/>
      <name val="Arial"/>
      <family val="2"/>
    </font>
    <font>
      <sz val="9"/>
      <color theme="1"/>
      <name val="Tahoma"/>
      <family val="2"/>
    </font>
    <font>
      <sz val="8"/>
      <name val="Tahoma"/>
      <family val="2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Tahoma"/>
      <family val="2"/>
    </font>
    <font>
      <b/>
      <sz val="11"/>
      <color theme="1"/>
      <name val="Calibri"/>
      <family val="2"/>
      <scheme val="minor"/>
    </font>
    <font>
      <sz val="9"/>
      <name val="Tahoma"/>
      <family val="2"/>
    </font>
    <font>
      <b/>
      <sz val="10"/>
      <name val="Arial"/>
      <family val="2"/>
    </font>
    <font>
      <b/>
      <sz val="14"/>
      <color theme="1"/>
      <name val="Tahoma"/>
      <family val="2"/>
    </font>
    <font>
      <sz val="10.5"/>
      <name val="Tahoma"/>
      <family val="2"/>
    </font>
    <font>
      <sz val="10"/>
      <color theme="3"/>
      <name val="Tahoma"/>
      <family val="2"/>
    </font>
    <font>
      <sz val="12"/>
      <color theme="1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double">
        <color indexed="64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</cellStyleXfs>
  <cellXfs count="487">
    <xf numFmtId="0" fontId="0" fillId="0" borderId="0" xfId="0"/>
    <xf numFmtId="0" fontId="2" fillId="0" borderId="0" xfId="2" applyFont="1" applyBorder="1" applyAlignment="1" applyProtection="1">
      <alignment horizontal="left" vertical="center" indent="1"/>
    </xf>
    <xf numFmtId="0" fontId="1" fillId="0" borderId="0" xfId="2" applyAlignment="1" applyProtection="1">
      <alignment horizontal="center" vertical="center"/>
    </xf>
    <xf numFmtId="0" fontId="4" fillId="0" borderId="0" xfId="2" applyFont="1" applyBorder="1" applyAlignment="1" applyProtection="1">
      <alignment horizontal="center" vertical="center"/>
    </xf>
    <xf numFmtId="0" fontId="1" fillId="0" borderId="0" xfId="2" applyAlignment="1" applyProtection="1">
      <alignment vertical="center"/>
    </xf>
    <xf numFmtId="0" fontId="2" fillId="0" borderId="3" xfId="2" applyFont="1" applyBorder="1" applyAlignment="1" applyProtection="1">
      <alignment horizontal="right" vertical="center" indent="1"/>
    </xf>
    <xf numFmtId="4" fontId="2" fillId="0" borderId="0" xfId="2" applyNumberFormat="1" applyFont="1" applyBorder="1" applyAlignment="1" applyProtection="1">
      <alignment vertical="center"/>
    </xf>
    <xf numFmtId="0" fontId="2" fillId="0" borderId="0" xfId="2" applyFont="1" applyBorder="1" applyAlignment="1" applyProtection="1">
      <alignment vertical="center"/>
    </xf>
    <xf numFmtId="0" fontId="2" fillId="0" borderId="6" xfId="2" applyFont="1" applyBorder="1" applyAlignment="1" applyProtection="1">
      <alignment horizontal="right" vertical="center" indent="1"/>
    </xf>
    <xf numFmtId="0" fontId="2" fillId="0" borderId="7" xfId="2" applyFont="1" applyBorder="1" applyAlignment="1" applyProtection="1">
      <alignment horizontal="left" vertical="center" indent="1"/>
    </xf>
    <xf numFmtId="0" fontId="2" fillId="0" borderId="0" xfId="2" applyFont="1" applyBorder="1" applyAlignment="1" applyProtection="1">
      <alignment horizontal="right" vertical="center" indent="1"/>
    </xf>
    <xf numFmtId="0" fontId="1" fillId="0" borderId="0" xfId="2" applyAlignment="1" applyProtection="1">
      <alignment horizontal="right" vertical="center" indent="1"/>
      <protection locked="0"/>
    </xf>
    <xf numFmtId="0" fontId="1" fillId="0" borderId="0" xfId="2" applyAlignment="1" applyProtection="1">
      <alignment horizontal="right" vertical="center" indent="1" readingOrder="1"/>
    </xf>
    <xf numFmtId="0" fontId="6" fillId="0" borderId="0" xfId="2" applyFont="1" applyBorder="1" applyAlignment="1" applyProtection="1">
      <alignment vertical="center" readingOrder="2"/>
    </xf>
    <xf numFmtId="0" fontId="13" fillId="0" borderId="0" xfId="2" applyFont="1" applyBorder="1" applyAlignment="1" applyProtection="1">
      <alignment vertical="center"/>
    </xf>
    <xf numFmtId="0" fontId="2" fillId="0" borderId="9" xfId="2" applyFont="1" applyBorder="1" applyAlignment="1" applyProtection="1">
      <alignment vertical="center" textRotation="90"/>
    </xf>
    <xf numFmtId="0" fontId="1" fillId="0" borderId="0" xfId="2" applyFont="1" applyAlignment="1" applyProtection="1">
      <alignment vertical="center"/>
    </xf>
    <xf numFmtId="3" fontId="2" fillId="0" borderId="0" xfId="2" applyNumberFormat="1" applyFont="1" applyBorder="1" applyAlignment="1" applyProtection="1">
      <alignment horizontal="right" vertical="center" indent="1"/>
    </xf>
    <xf numFmtId="0" fontId="2" fillId="0" borderId="0" xfId="2" applyFont="1" applyBorder="1" applyAlignment="1" applyProtection="1">
      <alignment horizontal="left" vertical="center" indent="1" readingOrder="1"/>
    </xf>
    <xf numFmtId="4" fontId="2" fillId="0" borderId="0" xfId="2" applyNumberFormat="1" applyFont="1" applyBorder="1" applyAlignment="1" applyProtection="1">
      <alignment horizontal="right" vertical="center" indent="1"/>
    </xf>
    <xf numFmtId="4" fontId="2" fillId="0" borderId="0" xfId="2" applyNumberFormat="1" applyFont="1" applyBorder="1" applyAlignment="1" applyProtection="1">
      <alignment horizontal="left" vertical="center" indent="1"/>
    </xf>
    <xf numFmtId="0" fontId="2" fillId="2" borderId="3" xfId="2" applyFont="1" applyFill="1" applyBorder="1" applyAlignment="1" applyProtection="1">
      <alignment horizontal="right" vertical="center" indent="1"/>
    </xf>
    <xf numFmtId="167" fontId="2" fillId="0" borderId="0" xfId="1" applyNumberFormat="1" applyFont="1" applyBorder="1" applyAlignment="1" applyProtection="1">
      <alignment horizontal="right" vertical="center" indent="1"/>
    </xf>
    <xf numFmtId="0" fontId="2" fillId="5" borderId="3" xfId="2" applyFont="1" applyFill="1" applyBorder="1" applyAlignment="1" applyProtection="1">
      <alignment horizontal="right" vertical="center" indent="1"/>
    </xf>
    <xf numFmtId="0" fontId="2" fillId="0" borderId="3" xfId="2" applyFont="1" applyFill="1" applyBorder="1" applyAlignment="1" applyProtection="1">
      <alignment horizontal="right" vertical="center" indent="1"/>
    </xf>
    <xf numFmtId="0" fontId="1" fillId="0" borderId="0" xfId="2"/>
    <xf numFmtId="169" fontId="2" fillId="0" borderId="0" xfId="2" applyNumberFormat="1" applyFont="1" applyBorder="1" applyAlignment="1" applyProtection="1">
      <alignment horizontal="right" vertical="center" indent="1"/>
    </xf>
    <xf numFmtId="0" fontId="1" fillId="0" borderId="0" xfId="2" applyBorder="1" applyAlignment="1">
      <alignment horizontal="center"/>
    </xf>
    <xf numFmtId="49" fontId="1" fillId="0" borderId="12" xfId="2" applyNumberFormat="1" applyBorder="1" applyAlignment="1">
      <alignment horizontal="center"/>
    </xf>
    <xf numFmtId="49" fontId="1" fillId="0" borderId="13" xfId="2" applyNumberFormat="1" applyBorder="1" applyAlignment="1">
      <alignment horizontal="center"/>
    </xf>
    <xf numFmtId="49" fontId="1" fillId="0" borderId="13" xfId="2" applyNumberFormat="1" applyFont="1" applyBorder="1" applyAlignment="1">
      <alignment horizontal="center"/>
    </xf>
    <xf numFmtId="49" fontId="1" fillId="0" borderId="14" xfId="2" applyNumberFormat="1" applyBorder="1" applyAlignment="1">
      <alignment horizontal="center"/>
    </xf>
    <xf numFmtId="49" fontId="1" fillId="0" borderId="15" xfId="2" applyNumberFormat="1" applyFont="1" applyBorder="1" applyAlignment="1">
      <alignment horizontal="center"/>
    </xf>
    <xf numFmtId="49" fontId="1" fillId="0" borderId="0" xfId="2" applyNumberFormat="1" applyBorder="1" applyAlignment="1">
      <alignment horizontal="center"/>
    </xf>
    <xf numFmtId="49" fontId="1" fillId="0" borderId="16" xfId="2" applyNumberFormat="1" applyBorder="1" applyAlignment="1"/>
    <xf numFmtId="49" fontId="1" fillId="0" borderId="17" xfId="2" applyNumberFormat="1" applyBorder="1" applyAlignment="1"/>
    <xf numFmtId="49" fontId="1" fillId="0" borderId="17" xfId="2" applyNumberFormat="1" applyBorder="1" applyAlignment="1">
      <alignment horizontal="center"/>
    </xf>
    <xf numFmtId="49" fontId="1" fillId="0" borderId="17" xfId="2" applyNumberFormat="1" applyFont="1" applyBorder="1" applyAlignment="1">
      <alignment horizontal="center"/>
    </xf>
    <xf numFmtId="49" fontId="1" fillId="0" borderId="18" xfId="2" applyNumberFormat="1" applyBorder="1" applyAlignment="1">
      <alignment horizontal="center"/>
    </xf>
    <xf numFmtId="49" fontId="1" fillId="0" borderId="19" xfId="2" applyNumberFormat="1" applyBorder="1" applyAlignment="1">
      <alignment horizontal="center"/>
    </xf>
    <xf numFmtId="49" fontId="1" fillId="0" borderId="10" xfId="2" applyNumberFormat="1" applyBorder="1" applyAlignment="1"/>
    <xf numFmtId="49" fontId="1" fillId="0" borderId="20" xfId="2" applyNumberFormat="1" applyBorder="1" applyAlignment="1"/>
    <xf numFmtId="2" fontId="1" fillId="0" borderId="20" xfId="2" applyNumberFormat="1" applyBorder="1"/>
    <xf numFmtId="0" fontId="1" fillId="0" borderId="20" xfId="2" applyBorder="1" applyAlignment="1">
      <alignment horizontal="right"/>
    </xf>
    <xf numFmtId="2" fontId="1" fillId="0" borderId="21" xfId="2" applyNumberFormat="1" applyBorder="1"/>
    <xf numFmtId="2" fontId="1" fillId="0" borderId="11" xfId="2" applyNumberFormat="1" applyBorder="1"/>
    <xf numFmtId="2" fontId="1" fillId="0" borderId="0" xfId="2" applyNumberFormat="1" applyBorder="1"/>
    <xf numFmtId="2" fontId="1" fillId="0" borderId="0" xfId="2" applyNumberFormat="1"/>
    <xf numFmtId="49" fontId="1" fillId="0" borderId="12" xfId="2" applyNumberFormat="1" applyBorder="1" applyAlignment="1"/>
    <xf numFmtId="49" fontId="1" fillId="0" borderId="13" xfId="2" applyNumberFormat="1" applyBorder="1" applyAlignment="1"/>
    <xf numFmtId="2" fontId="1" fillId="0" borderId="13" xfId="2" applyNumberFormat="1" applyBorder="1"/>
    <xf numFmtId="0" fontId="1" fillId="0" borderId="13" xfId="2" applyBorder="1" applyAlignment="1">
      <alignment horizontal="right"/>
    </xf>
    <xf numFmtId="2" fontId="1" fillId="0" borderId="14" xfId="2" applyNumberFormat="1" applyBorder="1"/>
    <xf numFmtId="2" fontId="1" fillId="0" borderId="15" xfId="2" applyNumberFormat="1" applyBorder="1"/>
    <xf numFmtId="0" fontId="1" fillId="0" borderId="0" xfId="2" applyFont="1"/>
    <xf numFmtId="49" fontId="1" fillId="0" borderId="22" xfId="2" applyNumberFormat="1" applyBorder="1" applyAlignment="1"/>
    <xf numFmtId="49" fontId="1" fillId="0" borderId="23" xfId="2" applyNumberFormat="1" applyBorder="1" applyAlignment="1"/>
    <xf numFmtId="2" fontId="1" fillId="0" borderId="23" xfId="2" applyNumberFormat="1" applyBorder="1"/>
    <xf numFmtId="0" fontId="1" fillId="0" borderId="23" xfId="2" applyBorder="1" applyAlignment="1">
      <alignment horizontal="right"/>
    </xf>
    <xf numFmtId="2" fontId="1" fillId="0" borderId="24" xfId="2" applyNumberFormat="1" applyBorder="1"/>
    <xf numFmtId="2" fontId="1" fillId="0" borderId="25" xfId="2" applyNumberFormat="1" applyBorder="1"/>
    <xf numFmtId="0" fontId="10" fillId="6" borderId="38" xfId="2" applyFont="1" applyFill="1" applyBorder="1" applyAlignment="1">
      <alignment horizontal="center" vertical="center" wrapText="1"/>
    </xf>
    <xf numFmtId="166" fontId="2" fillId="4" borderId="3" xfId="2" applyNumberFormat="1" applyFont="1" applyFill="1" applyBorder="1" applyAlignment="1" applyProtection="1">
      <alignment horizontal="left" vertical="center" indent="1"/>
    </xf>
    <xf numFmtId="170" fontId="2" fillId="0" borderId="0" xfId="2" applyNumberFormat="1" applyFont="1" applyBorder="1" applyAlignment="1" applyProtection="1">
      <alignment horizontal="right" vertical="center" indent="1"/>
    </xf>
    <xf numFmtId="0" fontId="2" fillId="0" borderId="0" xfId="2" applyFont="1" applyBorder="1" applyAlignment="1" applyProtection="1">
      <alignment horizontal="center" vertical="center"/>
    </xf>
    <xf numFmtId="0" fontId="2" fillId="0" borderId="0" xfId="2" applyFont="1" applyFill="1" applyBorder="1" applyAlignment="1" applyProtection="1">
      <alignment horizontal="center" vertical="center"/>
    </xf>
    <xf numFmtId="4" fontId="2" fillId="0" borderId="0" xfId="2" applyNumberFormat="1" applyFont="1" applyFill="1" applyBorder="1" applyAlignment="1" applyProtection="1">
      <alignment horizontal="center" vertical="center"/>
    </xf>
    <xf numFmtId="0" fontId="2" fillId="0" borderId="0" xfId="2" applyFont="1" applyFill="1" applyBorder="1" applyAlignment="1" applyProtection="1">
      <alignment vertical="center"/>
    </xf>
    <xf numFmtId="2" fontId="2" fillId="5" borderId="0" xfId="2" applyNumberFormat="1" applyFont="1" applyFill="1" applyBorder="1" applyAlignment="1" applyProtection="1">
      <alignment vertical="center"/>
    </xf>
    <xf numFmtId="0" fontId="1" fillId="0" borderId="0" xfId="2" applyProtection="1"/>
    <xf numFmtId="0" fontId="2" fillId="0" borderId="0" xfId="2" applyFont="1" applyFill="1" applyBorder="1" applyAlignment="1" applyProtection="1">
      <alignment horizontal="right" vertical="center"/>
    </xf>
    <xf numFmtId="0" fontId="2" fillId="0" borderId="0" xfId="2" applyFont="1" applyBorder="1" applyAlignment="1" applyProtection="1">
      <alignment horizontal="right" vertical="center"/>
    </xf>
    <xf numFmtId="0" fontId="2" fillId="0" borderId="3" xfId="2" applyFont="1" applyBorder="1" applyAlignment="1" applyProtection="1">
      <alignment horizontal="right" vertical="center"/>
    </xf>
    <xf numFmtId="0" fontId="2" fillId="0" borderId="0" xfId="2" applyFont="1" applyBorder="1" applyAlignment="1" applyProtection="1">
      <alignment horizontal="left" vertical="center"/>
    </xf>
    <xf numFmtId="2" fontId="2" fillId="0" borderId="0" xfId="2" applyNumberFormat="1" applyFont="1" applyBorder="1" applyAlignment="1" applyProtection="1">
      <alignment horizontal="center" vertical="center"/>
    </xf>
    <xf numFmtId="2" fontId="15" fillId="0" borderId="11" xfId="1" applyNumberFormat="1" applyFont="1" applyBorder="1" applyAlignment="1">
      <alignment horizontal="center"/>
    </xf>
    <xf numFmtId="0" fontId="16" fillId="0" borderId="29" xfId="2" applyFont="1" applyBorder="1" applyAlignment="1">
      <alignment horizontal="center"/>
    </xf>
    <xf numFmtId="0" fontId="16" fillId="0" borderId="0" xfId="2" applyFont="1"/>
    <xf numFmtId="0" fontId="16" fillId="0" borderId="30" xfId="2" applyFont="1" applyBorder="1" applyAlignment="1">
      <alignment horizontal="center"/>
    </xf>
    <xf numFmtId="1" fontId="16" fillId="0" borderId="10" xfId="2" applyNumberFormat="1" applyFont="1" applyBorder="1" applyAlignment="1">
      <alignment horizontal="center"/>
    </xf>
    <xf numFmtId="0" fontId="16" fillId="0" borderId="10" xfId="2" applyFont="1" applyBorder="1" applyAlignment="1">
      <alignment horizontal="center"/>
    </xf>
    <xf numFmtId="0" fontId="16" fillId="0" borderId="11" xfId="2" applyFont="1" applyBorder="1" applyAlignment="1">
      <alignment horizontal="center"/>
    </xf>
    <xf numFmtId="1" fontId="16" fillId="0" borderId="12" xfId="2" applyNumberFormat="1" applyFont="1" applyBorder="1" applyAlignment="1">
      <alignment horizontal="center"/>
    </xf>
    <xf numFmtId="2" fontId="15" fillId="0" borderId="15" xfId="1" applyNumberFormat="1" applyFont="1" applyBorder="1" applyAlignment="1">
      <alignment horizontal="center"/>
    </xf>
    <xf numFmtId="0" fontId="16" fillId="0" borderId="12" xfId="2" applyFont="1" applyBorder="1" applyAlignment="1">
      <alignment horizontal="center"/>
    </xf>
    <xf numFmtId="0" fontId="16" fillId="0" borderId="15" xfId="2" applyFont="1" applyBorder="1" applyAlignment="1">
      <alignment horizontal="center"/>
    </xf>
    <xf numFmtId="0" fontId="16" fillId="0" borderId="22" xfId="2" applyFont="1" applyBorder="1" applyAlignment="1">
      <alignment horizontal="center"/>
    </xf>
    <xf numFmtId="0" fontId="16" fillId="0" borderId="25" xfId="2" applyFont="1" applyBorder="1" applyAlignment="1">
      <alignment horizontal="center"/>
    </xf>
    <xf numFmtId="0" fontId="16" fillId="0" borderId="0" xfId="2" applyFont="1" applyAlignment="1">
      <alignment horizontal="center"/>
    </xf>
    <xf numFmtId="1" fontId="16" fillId="0" borderId="22" xfId="2" applyNumberFormat="1" applyFont="1" applyBorder="1" applyAlignment="1">
      <alignment horizontal="center"/>
    </xf>
    <xf numFmtId="2" fontId="15" fillId="0" borderId="25" xfId="1" applyNumberFormat="1" applyFont="1" applyBorder="1" applyAlignment="1">
      <alignment horizontal="center"/>
    </xf>
    <xf numFmtId="0" fontId="2" fillId="0" borderId="13" xfId="2" applyFont="1" applyBorder="1" applyAlignment="1" applyProtection="1">
      <alignment horizontal="left" vertical="center" indent="1"/>
    </xf>
    <xf numFmtId="3" fontId="2" fillId="0" borderId="13" xfId="2" applyNumberFormat="1" applyFont="1" applyBorder="1" applyAlignment="1" applyProtection="1">
      <alignment horizontal="right" vertical="center" indent="1"/>
      <protection locked="0"/>
    </xf>
    <xf numFmtId="164" fontId="2" fillId="0" borderId="13" xfId="2" applyNumberFormat="1" applyFont="1" applyBorder="1" applyAlignment="1" applyProtection="1">
      <alignment horizontal="right" vertical="center" indent="1"/>
      <protection locked="0"/>
    </xf>
    <xf numFmtId="0" fontId="2" fillId="0" borderId="10" xfId="2" applyFont="1" applyBorder="1" applyAlignment="1" applyProtection="1">
      <alignment horizontal="right" vertical="center" indent="1"/>
    </xf>
    <xf numFmtId="0" fontId="2" fillId="0" borderId="20" xfId="2" applyFont="1" applyBorder="1" applyAlignment="1" applyProtection="1">
      <alignment horizontal="left" vertical="center" indent="1"/>
    </xf>
    <xf numFmtId="3" fontId="2" fillId="0" borderId="20" xfId="2" applyNumberFormat="1" applyFont="1" applyBorder="1" applyAlignment="1" applyProtection="1">
      <alignment horizontal="right" vertical="center" indent="1"/>
      <protection locked="0"/>
    </xf>
    <xf numFmtId="0" fontId="2" fillId="0" borderId="12" xfId="2" applyFont="1" applyBorder="1" applyAlignment="1" applyProtection="1">
      <alignment horizontal="right" vertical="center" indent="1"/>
    </xf>
    <xf numFmtId="0" fontId="2" fillId="0" borderId="22" xfId="2" applyFont="1" applyBorder="1" applyAlignment="1" applyProtection="1">
      <alignment horizontal="right" vertical="center" indent="1"/>
    </xf>
    <xf numFmtId="0" fontId="2" fillId="0" borderId="23" xfId="2" applyFont="1" applyBorder="1" applyAlignment="1" applyProtection="1">
      <alignment horizontal="left" vertical="center" indent="1"/>
    </xf>
    <xf numFmtId="164" fontId="2" fillId="0" borderId="20" xfId="2" applyNumberFormat="1" applyFont="1" applyBorder="1" applyAlignment="1" applyProtection="1">
      <alignment horizontal="right" vertical="center" indent="1"/>
      <protection locked="0"/>
    </xf>
    <xf numFmtId="164" fontId="2" fillId="0" borderId="23" xfId="2" applyNumberFormat="1" applyFont="1" applyBorder="1" applyAlignment="1" applyProtection="1">
      <alignment horizontal="right" vertical="center" indent="1"/>
      <protection locked="0"/>
    </xf>
    <xf numFmtId="4" fontId="2" fillId="0" borderId="13" xfId="2" applyNumberFormat="1" applyFont="1" applyBorder="1" applyAlignment="1" applyProtection="1">
      <alignment horizontal="right" vertical="center" indent="1"/>
      <protection locked="0"/>
    </xf>
    <xf numFmtId="9" fontId="2" fillId="0" borderId="13" xfId="3" applyFont="1" applyBorder="1" applyAlignment="1" applyProtection="1">
      <alignment horizontal="right" vertical="center" indent="1"/>
      <protection locked="0"/>
    </xf>
    <xf numFmtId="0" fontId="2" fillId="0" borderId="13" xfId="2" applyNumberFormat="1" applyFont="1" applyBorder="1" applyAlignment="1" applyProtection="1">
      <alignment horizontal="right" vertical="center" indent="1"/>
      <protection locked="0"/>
    </xf>
    <xf numFmtId="0" fontId="1" fillId="0" borderId="0" xfId="2" applyAlignment="1" applyProtection="1">
      <alignment horizontal="right" vertical="center" indent="1"/>
    </xf>
    <xf numFmtId="175" fontId="2" fillId="4" borderId="6" xfId="2" applyNumberFormat="1" applyFont="1" applyFill="1" applyBorder="1" applyAlignment="1" applyProtection="1">
      <alignment horizontal="left" vertical="center" indent="1"/>
    </xf>
    <xf numFmtId="0" fontId="2" fillId="0" borderId="7" xfId="2" applyFont="1" applyFill="1" applyBorder="1" applyAlignment="1" applyProtection="1">
      <alignment horizontal="center" vertical="center"/>
    </xf>
    <xf numFmtId="174" fontId="2" fillId="4" borderId="6" xfId="2" applyNumberFormat="1" applyFont="1" applyFill="1" applyBorder="1" applyAlignment="1" applyProtection="1">
      <alignment horizontal="left" vertical="center" indent="1"/>
    </xf>
    <xf numFmtId="176" fontId="2" fillId="4" borderId="6" xfId="2" applyNumberFormat="1" applyFont="1" applyFill="1" applyBorder="1" applyAlignment="1" applyProtection="1">
      <alignment horizontal="left" vertical="center" indent="1"/>
    </xf>
    <xf numFmtId="0" fontId="2" fillId="0" borderId="0" xfId="2" applyFont="1" applyBorder="1" applyAlignment="1" applyProtection="1">
      <alignment horizontal="right" vertical="center" indent="1" readingOrder="2"/>
    </xf>
    <xf numFmtId="0" fontId="2" fillId="0" borderId="3" xfId="2" applyFont="1" applyFill="1" applyBorder="1" applyAlignment="1" applyProtection="1">
      <alignment horizontal="center" vertical="center"/>
    </xf>
    <xf numFmtId="0" fontId="2" fillId="0" borderId="0" xfId="2" applyFont="1" applyFill="1" applyBorder="1" applyAlignment="1" applyProtection="1">
      <alignment horizontal="center" vertical="center"/>
    </xf>
    <xf numFmtId="0" fontId="2" fillId="0" borderId="2" xfId="2" applyFont="1" applyFill="1" applyBorder="1" applyAlignment="1" applyProtection="1">
      <alignment horizontal="center" vertical="center"/>
    </xf>
    <xf numFmtId="0" fontId="2" fillId="2" borderId="1" xfId="2" applyFont="1" applyFill="1" applyBorder="1" applyAlignment="1" applyProtection="1">
      <alignment horizontal="right" vertical="center"/>
    </xf>
    <xf numFmtId="4" fontId="2" fillId="0" borderId="2" xfId="2" applyNumberFormat="1" applyFont="1" applyFill="1" applyBorder="1" applyAlignment="1" applyProtection="1">
      <alignment horizontal="center" vertical="center"/>
    </xf>
    <xf numFmtId="0" fontId="2" fillId="0" borderId="4" xfId="2" applyFont="1" applyFill="1" applyBorder="1" applyAlignment="1" applyProtection="1">
      <alignment horizontal="center" vertical="center"/>
    </xf>
    <xf numFmtId="0" fontId="2" fillId="2" borderId="32" xfId="2" applyFont="1" applyFill="1" applyBorder="1" applyAlignment="1" applyProtection="1">
      <alignment horizontal="center" vertical="center"/>
    </xf>
    <xf numFmtId="0" fontId="2" fillId="2" borderId="33" xfId="2" applyFont="1" applyFill="1" applyBorder="1" applyAlignment="1" applyProtection="1">
      <alignment horizontal="center" vertical="center"/>
    </xf>
    <xf numFmtId="4" fontId="2" fillId="2" borderId="33" xfId="2" applyNumberFormat="1" applyFont="1" applyFill="1" applyBorder="1" applyAlignment="1" applyProtection="1">
      <alignment horizontal="center" vertical="center"/>
    </xf>
    <xf numFmtId="0" fontId="2" fillId="2" borderId="32" xfId="2" applyFont="1" applyFill="1" applyBorder="1" applyAlignment="1" applyProtection="1">
      <alignment horizontal="right" vertical="center" indent="1"/>
    </xf>
    <xf numFmtId="0" fontId="2" fillId="2" borderId="33" xfId="2" applyFont="1" applyFill="1" applyBorder="1" applyAlignment="1" applyProtection="1">
      <alignment horizontal="left" vertical="center" indent="1"/>
    </xf>
    <xf numFmtId="4" fontId="2" fillId="2" borderId="33" xfId="2" applyNumberFormat="1" applyFont="1" applyFill="1" applyBorder="1" applyAlignment="1" applyProtection="1">
      <alignment horizontal="right" vertical="center" indent="1"/>
    </xf>
    <xf numFmtId="166" fontId="2" fillId="4" borderId="6" xfId="2" applyNumberFormat="1" applyFont="1" applyFill="1" applyBorder="1" applyAlignment="1" applyProtection="1">
      <alignment horizontal="left" vertical="center" indent="1"/>
    </xf>
    <xf numFmtId="0" fontId="2" fillId="2" borderId="41" xfId="2" applyFont="1" applyFill="1" applyBorder="1" applyAlignment="1" applyProtection="1">
      <alignment horizontal="right" vertical="center" indent="1"/>
    </xf>
    <xf numFmtId="0" fontId="2" fillId="0" borderId="42" xfId="2" applyFont="1" applyBorder="1" applyAlignment="1" applyProtection="1">
      <alignment horizontal="left" vertical="center" indent="1"/>
    </xf>
    <xf numFmtId="0" fontId="2" fillId="0" borderId="2" xfId="2" applyFont="1" applyFill="1" applyBorder="1" applyAlignment="1" applyProtection="1">
      <alignment vertical="center"/>
    </xf>
    <xf numFmtId="0" fontId="2" fillId="2" borderId="1" xfId="2" applyFont="1" applyFill="1" applyBorder="1" applyAlignment="1" applyProtection="1">
      <alignment horizontal="right" vertical="center" indent="1"/>
    </xf>
    <xf numFmtId="9" fontId="2" fillId="0" borderId="13" xfId="4" applyFont="1" applyBorder="1" applyAlignment="1" applyProtection="1">
      <alignment horizontal="right" vertical="center" indent="1"/>
      <protection locked="0"/>
    </xf>
    <xf numFmtId="9" fontId="2" fillId="0" borderId="23" xfId="4" applyFont="1" applyBorder="1" applyAlignment="1" applyProtection="1">
      <alignment horizontal="right" vertical="center" indent="1"/>
      <protection locked="0"/>
    </xf>
    <xf numFmtId="0" fontId="1" fillId="0" borderId="0" xfId="2" applyBorder="1" applyAlignment="1" applyProtection="1">
      <alignment vertical="center"/>
    </xf>
    <xf numFmtId="181" fontId="2" fillId="4" borderId="3" xfId="2" applyNumberFormat="1" applyFont="1" applyFill="1" applyBorder="1" applyAlignment="1" applyProtection="1">
      <alignment horizontal="right" vertical="center" indent="1"/>
    </xf>
    <xf numFmtId="0" fontId="2" fillId="0" borderId="0" xfId="2" applyFont="1" applyFill="1" applyBorder="1" applyAlignment="1" applyProtection="1">
      <alignment horizontal="center" vertical="center"/>
    </xf>
    <xf numFmtId="0" fontId="0" fillId="0" borderId="13" xfId="0" applyBorder="1" applyAlignment="1">
      <alignment horizontal="center"/>
    </xf>
    <xf numFmtId="0" fontId="0" fillId="5" borderId="0" xfId="0" applyFill="1" applyBorder="1"/>
    <xf numFmtId="0" fontId="0" fillId="5" borderId="18" xfId="0" applyFill="1" applyBorder="1"/>
    <xf numFmtId="0" fontId="0" fillId="5" borderId="42" xfId="0" applyFill="1" applyBorder="1"/>
    <xf numFmtId="0" fontId="0" fillId="5" borderId="45" xfId="0" applyFill="1" applyBorder="1"/>
    <xf numFmtId="0" fontId="0" fillId="0" borderId="27" xfId="0" applyBorder="1" applyAlignment="1">
      <alignment horizontal="center"/>
    </xf>
    <xf numFmtId="0" fontId="0" fillId="0" borderId="0" xfId="0" applyBorder="1"/>
    <xf numFmtId="0" fontId="0" fillId="5" borderId="39" xfId="0" applyFill="1" applyBorder="1"/>
    <xf numFmtId="0" fontId="17" fillId="0" borderId="31" xfId="2" applyFont="1" applyBorder="1" applyAlignment="1">
      <alignment horizontal="center"/>
    </xf>
    <xf numFmtId="0" fontId="0" fillId="5" borderId="47" xfId="0" applyFill="1" applyBorder="1"/>
    <xf numFmtId="0" fontId="0" fillId="0" borderId="0" xfId="0" applyFill="1" applyBorder="1"/>
    <xf numFmtId="173" fontId="12" fillId="6" borderId="13" xfId="2" applyNumberFormat="1" applyFont="1" applyFill="1" applyBorder="1" applyAlignment="1">
      <alignment horizontal="center" vertical="top" wrapText="1"/>
    </xf>
    <xf numFmtId="173" fontId="11" fillId="7" borderId="13" xfId="2" applyNumberFormat="1" applyFont="1" applyFill="1" applyBorder="1" applyAlignment="1">
      <alignment horizontal="center" vertical="top" wrapText="1"/>
    </xf>
    <xf numFmtId="172" fontId="11" fillId="0" borderId="13" xfId="2" applyNumberFormat="1" applyFont="1" applyFill="1" applyBorder="1" applyAlignment="1">
      <alignment horizontal="center" vertical="top" wrapText="1"/>
    </xf>
    <xf numFmtId="0" fontId="0" fillId="5" borderId="51" xfId="0" applyFill="1" applyBorder="1"/>
    <xf numFmtId="0" fontId="0" fillId="5" borderId="52" xfId="0" applyFill="1" applyBorder="1"/>
    <xf numFmtId="0" fontId="0" fillId="5" borderId="46" xfId="0" applyFill="1" applyBorder="1"/>
    <xf numFmtId="0" fontId="0" fillId="0" borderId="52" xfId="0" applyFill="1" applyBorder="1"/>
    <xf numFmtId="171" fontId="11" fillId="0" borderId="48" xfId="2" applyNumberFormat="1" applyFont="1" applyFill="1" applyBorder="1" applyAlignment="1">
      <alignment horizontal="center" vertical="top" wrapText="1"/>
    </xf>
    <xf numFmtId="0" fontId="12" fillId="6" borderId="48" xfId="2" applyNumberFormat="1" applyFont="1" applyFill="1" applyBorder="1" applyAlignment="1">
      <alignment horizontal="center" vertical="top" wrapText="1"/>
    </xf>
    <xf numFmtId="171" fontId="11" fillId="7" borderId="48" xfId="2" applyNumberFormat="1" applyFont="1" applyFill="1" applyBorder="1" applyAlignment="1">
      <alignment horizontal="center" vertical="top" wrapText="1"/>
    </xf>
    <xf numFmtId="171" fontId="12" fillId="6" borderId="48" xfId="2" applyNumberFormat="1" applyFont="1" applyFill="1" applyBorder="1" applyAlignment="1">
      <alignment horizontal="center" vertical="top" wrapText="1"/>
    </xf>
    <xf numFmtId="171" fontId="12" fillId="6" borderId="49" xfId="2" applyNumberFormat="1" applyFont="1" applyFill="1" applyBorder="1" applyAlignment="1">
      <alignment horizontal="center" vertical="top" wrapText="1"/>
    </xf>
    <xf numFmtId="0" fontId="10" fillId="6" borderId="53" xfId="2" applyFont="1" applyFill="1" applyBorder="1" applyAlignment="1">
      <alignment horizontal="center" vertical="center" wrapText="1"/>
    </xf>
    <xf numFmtId="0" fontId="10" fillId="6" borderId="54" xfId="2" applyFont="1" applyFill="1" applyBorder="1" applyAlignment="1">
      <alignment horizontal="center" vertical="center" wrapText="1"/>
    </xf>
    <xf numFmtId="0" fontId="10" fillId="6" borderId="55" xfId="2" applyFont="1" applyFill="1" applyBorder="1" applyAlignment="1">
      <alignment horizontal="center" vertical="center" wrapText="1"/>
    </xf>
    <xf numFmtId="171" fontId="11" fillId="7" borderId="13" xfId="2" applyNumberFormat="1" applyFont="1" applyFill="1" applyBorder="1" applyAlignment="1">
      <alignment horizontal="center" vertical="top" wrapText="1"/>
    </xf>
    <xf numFmtId="0" fontId="0" fillId="10" borderId="13" xfId="0" applyFill="1" applyBorder="1" applyAlignment="1">
      <alignment horizontal="center"/>
    </xf>
    <xf numFmtId="0" fontId="0" fillId="10" borderId="27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0" fillId="0" borderId="0" xfId="0" applyFill="1"/>
    <xf numFmtId="0" fontId="0" fillId="0" borderId="42" xfId="0" applyFont="1" applyFill="1" applyBorder="1"/>
    <xf numFmtId="0" fontId="0" fillId="0" borderId="0" xfId="0" applyFont="1" applyFill="1" applyBorder="1"/>
    <xf numFmtId="0" fontId="0" fillId="5" borderId="51" xfId="0" applyFont="1" applyFill="1" applyBorder="1"/>
    <xf numFmtId="0" fontId="0" fillId="10" borderId="40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0" fontId="22" fillId="5" borderId="46" xfId="0" applyFont="1" applyFill="1" applyBorder="1" applyAlignment="1">
      <alignment horizontal="center"/>
    </xf>
    <xf numFmtId="0" fontId="2" fillId="5" borderId="2" xfId="2" applyFont="1" applyFill="1" applyBorder="1" applyAlignment="1" applyProtection="1">
      <alignment vertical="center"/>
    </xf>
    <xf numFmtId="1" fontId="16" fillId="0" borderId="0" xfId="2" applyNumberFormat="1" applyFont="1"/>
    <xf numFmtId="3" fontId="2" fillId="0" borderId="23" xfId="2" applyNumberFormat="1" applyFont="1" applyBorder="1" applyAlignment="1" applyProtection="1">
      <alignment horizontal="right" vertical="center" indent="1"/>
      <protection locked="0"/>
    </xf>
    <xf numFmtId="43" fontId="2" fillId="0" borderId="0" xfId="5" applyFont="1" applyBorder="1" applyAlignment="1" applyProtection="1">
      <alignment vertical="center"/>
    </xf>
    <xf numFmtId="0" fontId="2" fillId="0" borderId="13" xfId="2" applyFont="1" applyBorder="1" applyAlignment="1" applyProtection="1">
      <alignment horizontal="center" vertical="center"/>
      <protection locked="0"/>
    </xf>
    <xf numFmtId="0" fontId="2" fillId="0" borderId="26" xfId="2" applyFont="1" applyBorder="1" applyAlignment="1" applyProtection="1">
      <alignment horizontal="right" vertical="center" indent="1"/>
    </xf>
    <xf numFmtId="0" fontId="2" fillId="0" borderId="27" xfId="2" applyFont="1" applyBorder="1" applyAlignment="1" applyProtection="1">
      <alignment horizontal="center" vertical="center"/>
      <protection locked="0"/>
    </xf>
    <xf numFmtId="3" fontId="2" fillId="0" borderId="27" xfId="2" applyNumberFormat="1" applyFont="1" applyBorder="1" applyAlignment="1" applyProtection="1">
      <alignment horizontal="right" vertical="center" indent="1"/>
      <protection locked="0"/>
    </xf>
    <xf numFmtId="4" fontId="2" fillId="2" borderId="35" xfId="2" applyNumberFormat="1" applyFont="1" applyFill="1" applyBorder="1" applyAlignment="1" applyProtection="1">
      <alignment horizontal="right" vertical="center" indent="1"/>
    </xf>
    <xf numFmtId="4" fontId="2" fillId="2" borderId="36" xfId="2" applyNumberFormat="1" applyFont="1" applyFill="1" applyBorder="1" applyAlignment="1" applyProtection="1">
      <alignment horizontal="right" vertical="center" indent="1"/>
    </xf>
    <xf numFmtId="0" fontId="2" fillId="0" borderId="23" xfId="2" applyFont="1" applyBorder="1" applyAlignment="1" applyProtection="1">
      <alignment horizontal="center" vertical="center"/>
      <protection locked="0"/>
    </xf>
    <xf numFmtId="0" fontId="2" fillId="0" borderId="27" xfId="2" applyFont="1" applyBorder="1" applyAlignment="1" applyProtection="1">
      <alignment horizontal="left" vertical="center" indent="1"/>
    </xf>
    <xf numFmtId="164" fontId="2" fillId="0" borderId="0" xfId="2" applyNumberFormat="1" applyFont="1" applyBorder="1" applyAlignment="1" applyProtection="1">
      <alignment horizontal="right" vertical="center" indent="1"/>
      <protection locked="0"/>
    </xf>
    <xf numFmtId="0" fontId="2" fillId="0" borderId="23" xfId="2" applyNumberFormat="1" applyFont="1" applyBorder="1" applyAlignment="1" applyProtection="1">
      <alignment horizontal="right" vertical="center" indent="1"/>
      <protection locked="0"/>
    </xf>
    <xf numFmtId="3" fontId="2" fillId="0" borderId="57" xfId="2" applyNumberFormat="1" applyFont="1" applyBorder="1" applyAlignment="1" applyProtection="1">
      <alignment horizontal="right" vertical="center" indent="1"/>
      <protection locked="0"/>
    </xf>
    <xf numFmtId="1" fontId="2" fillId="0" borderId="0" xfId="2" applyNumberFormat="1" applyFont="1" applyFill="1" applyBorder="1" applyAlignment="1" applyProtection="1">
      <alignment horizontal="right" vertical="center" indent="1"/>
    </xf>
    <xf numFmtId="0" fontId="25" fillId="0" borderId="0" xfId="0" applyFont="1" applyAlignment="1">
      <alignment vertical="top" wrapText="1"/>
    </xf>
    <xf numFmtId="0" fontId="16" fillId="0" borderId="0" xfId="2" applyFont="1" applyBorder="1"/>
    <xf numFmtId="3" fontId="2" fillId="0" borderId="20" xfId="2" applyNumberFormat="1" applyFont="1" applyBorder="1" applyAlignment="1" applyProtection="1">
      <alignment horizontal="right" vertical="center" indent="1"/>
    </xf>
    <xf numFmtId="0" fontId="2" fillId="4" borderId="3" xfId="2" applyNumberFormat="1" applyFont="1" applyFill="1" applyBorder="1" applyAlignment="1" applyProtection="1">
      <alignment horizontal="right" vertical="center" indent="1" readingOrder="2"/>
    </xf>
    <xf numFmtId="180" fontId="2" fillId="4" borderId="3" xfId="2" applyNumberFormat="1" applyFont="1" applyFill="1" applyBorder="1" applyAlignment="1" applyProtection="1">
      <alignment horizontal="right" vertical="center" indent="1" readingOrder="1"/>
    </xf>
    <xf numFmtId="0" fontId="28" fillId="0" borderId="4" xfId="2" applyFont="1" applyFill="1" applyBorder="1" applyAlignment="1" applyProtection="1">
      <alignment vertical="center"/>
    </xf>
    <xf numFmtId="0" fontId="28" fillId="0" borderId="0" xfId="2" applyFont="1" applyBorder="1" applyAlignment="1" applyProtection="1">
      <alignment horizontal="right" vertical="center" indent="1" readingOrder="1"/>
    </xf>
    <xf numFmtId="0" fontId="2" fillId="0" borderId="64" xfId="2" applyFont="1" applyBorder="1" applyAlignment="1" applyProtection="1">
      <alignment horizontal="right" vertical="center" indent="1"/>
    </xf>
    <xf numFmtId="0" fontId="2" fillId="0" borderId="39" xfId="2" applyFont="1" applyBorder="1" applyAlignment="1" applyProtection="1">
      <alignment horizontal="left" vertical="center" indent="1"/>
    </xf>
    <xf numFmtId="0" fontId="28" fillId="0" borderId="25" xfId="2" applyFont="1" applyBorder="1" applyAlignment="1" applyProtection="1">
      <alignment horizontal="right" vertical="center" indent="1" readingOrder="1"/>
    </xf>
    <xf numFmtId="0" fontId="28" fillId="0" borderId="15" xfId="2" applyFont="1" applyBorder="1" applyAlignment="1" applyProtection="1">
      <alignment horizontal="right" vertical="center" indent="1" readingOrder="1"/>
    </xf>
    <xf numFmtId="0" fontId="28" fillId="0" borderId="11" xfId="2" applyFont="1" applyBorder="1" applyAlignment="1" applyProtection="1">
      <alignment horizontal="right" vertical="center" indent="1" readingOrder="1"/>
    </xf>
    <xf numFmtId="0" fontId="28" fillId="0" borderId="15" xfId="2" applyFont="1" applyFill="1" applyBorder="1" applyAlignment="1" applyProtection="1">
      <alignment horizontal="right" vertical="center" indent="1" readingOrder="1"/>
    </xf>
    <xf numFmtId="0" fontId="28" fillId="0" borderId="0" xfId="2" applyFont="1" applyAlignment="1" applyProtection="1">
      <alignment horizontal="right" vertical="center" indent="1" readingOrder="1"/>
    </xf>
    <xf numFmtId="0" fontId="28" fillId="0" borderId="28" xfId="2" applyFont="1" applyBorder="1" applyAlignment="1" applyProtection="1">
      <alignment horizontal="right" vertical="center" indent="1" readingOrder="1"/>
    </xf>
    <xf numFmtId="0" fontId="28" fillId="0" borderId="0" xfId="2" applyFont="1" applyAlignment="1" applyProtection="1">
      <alignment vertical="center"/>
    </xf>
    <xf numFmtId="4" fontId="5" fillId="2" borderId="37" xfId="2" applyNumberFormat="1" applyFont="1" applyFill="1" applyBorder="1" applyAlignment="1" applyProtection="1">
      <alignment horizontal="right" vertical="center" indent="1"/>
    </xf>
    <xf numFmtId="0" fontId="5" fillId="0" borderId="28" xfId="2" applyFont="1" applyBorder="1" applyAlignment="1" applyProtection="1">
      <alignment horizontal="right" vertical="center" indent="1" readingOrder="1"/>
      <protection locked="0"/>
    </xf>
    <xf numFmtId="0" fontId="5" fillId="0" borderId="56" xfId="2" applyFont="1" applyBorder="1" applyAlignment="1" applyProtection="1">
      <alignment horizontal="right" vertical="center" indent="1" readingOrder="1"/>
      <protection locked="0"/>
    </xf>
    <xf numFmtId="4" fontId="2" fillId="2" borderId="34" xfId="2" applyNumberFormat="1" applyFont="1" applyFill="1" applyBorder="1" applyAlignment="1" applyProtection="1">
      <alignment horizontal="right" vertical="center" indent="1"/>
    </xf>
    <xf numFmtId="0" fontId="3" fillId="0" borderId="40" xfId="2" applyFont="1" applyBorder="1" applyAlignment="1" applyProtection="1">
      <alignment horizontal="right" vertical="center" indent="1"/>
      <protection locked="0"/>
    </xf>
    <xf numFmtId="0" fontId="3" fillId="0" borderId="45" xfId="2" applyFont="1" applyBorder="1" applyAlignment="1" applyProtection="1">
      <alignment horizontal="right" vertical="center" indent="1"/>
      <protection locked="0"/>
    </xf>
    <xf numFmtId="0" fontId="18" fillId="0" borderId="0" xfId="2" applyFont="1" applyBorder="1" applyAlignment="1" applyProtection="1">
      <alignment horizontal="center" vertical="center"/>
    </xf>
    <xf numFmtId="0" fontId="18" fillId="2" borderId="32" xfId="2" applyFont="1" applyFill="1" applyBorder="1" applyAlignment="1" applyProtection="1">
      <alignment horizontal="center" vertical="center"/>
    </xf>
    <xf numFmtId="0" fontId="18" fillId="2" borderId="33" xfId="2" applyFont="1" applyFill="1" applyBorder="1" applyAlignment="1" applyProtection="1">
      <alignment horizontal="left" vertical="center"/>
    </xf>
    <xf numFmtId="4" fontId="18" fillId="2" borderId="33" xfId="2" applyNumberFormat="1" applyFont="1" applyFill="1" applyBorder="1" applyAlignment="1" applyProtection="1">
      <alignment horizontal="right" vertical="center"/>
    </xf>
    <xf numFmtId="0" fontId="18" fillId="11" borderId="3" xfId="2" applyFont="1" applyFill="1" applyBorder="1" applyAlignment="1" applyProtection="1">
      <alignment horizontal="right" vertical="center"/>
    </xf>
    <xf numFmtId="0" fontId="18" fillId="11" borderId="0" xfId="2" applyFont="1" applyFill="1" applyBorder="1" applyAlignment="1" applyProtection="1">
      <alignment horizontal="center" vertical="center"/>
    </xf>
    <xf numFmtId="4" fontId="18" fillId="11" borderId="0" xfId="2" applyNumberFormat="1" applyFont="1" applyFill="1" applyBorder="1" applyAlignment="1" applyProtection="1">
      <alignment horizontal="center" vertical="center"/>
    </xf>
    <xf numFmtId="0" fontId="28" fillId="11" borderId="5" xfId="2" applyFont="1" applyFill="1" applyBorder="1" applyAlignment="1" applyProtection="1">
      <alignment horizontal="center" vertical="center"/>
    </xf>
    <xf numFmtId="0" fontId="28" fillId="0" borderId="0" xfId="2" applyFont="1" applyBorder="1" applyAlignment="1" applyProtection="1">
      <alignment horizontal="center" vertical="center"/>
    </xf>
    <xf numFmtId="0" fontId="28" fillId="0" borderId="0" xfId="2" applyFont="1" applyBorder="1" applyAlignment="1" applyProtection="1">
      <alignment horizontal="right" vertical="center" readingOrder="1"/>
    </xf>
    <xf numFmtId="0" fontId="28" fillId="0" borderId="0" xfId="2" applyFont="1" applyBorder="1" applyAlignment="1" applyProtection="1">
      <alignment vertical="center"/>
    </xf>
    <xf numFmtId="0" fontId="28" fillId="0" borderId="5" xfId="2" applyFont="1" applyFill="1" applyBorder="1" applyAlignment="1" applyProtection="1">
      <alignment horizontal="center" vertical="center"/>
    </xf>
    <xf numFmtId="0" fontId="28" fillId="0" borderId="5" xfId="2" applyFont="1" applyBorder="1" applyAlignment="1" applyProtection="1">
      <alignment horizontal="right" vertical="center" indent="2" readingOrder="1"/>
    </xf>
    <xf numFmtId="4" fontId="18" fillId="2" borderId="34" xfId="2" applyNumberFormat="1" applyFont="1" applyFill="1" applyBorder="1" applyAlignment="1" applyProtection="1">
      <alignment horizontal="right" vertical="center"/>
    </xf>
    <xf numFmtId="0" fontId="2" fillId="0" borderId="13" xfId="2" applyFont="1" applyBorder="1" applyAlignment="1" applyProtection="1">
      <alignment horizontal="right" vertical="center" indent="1"/>
      <protection locked="0" hidden="1"/>
    </xf>
    <xf numFmtId="0" fontId="2" fillId="0" borderId="0" xfId="2" applyFont="1" applyFill="1" applyBorder="1" applyAlignment="1" applyProtection="1">
      <alignment horizontal="center" vertical="center"/>
    </xf>
    <xf numFmtId="4" fontId="2" fillId="0" borderId="0" xfId="2" applyNumberFormat="1" applyFont="1" applyBorder="1" applyAlignment="1" applyProtection="1">
      <alignment vertical="center"/>
    </xf>
    <xf numFmtId="0" fontId="2" fillId="0" borderId="0" xfId="2" applyFont="1" applyBorder="1" applyAlignment="1" applyProtection="1">
      <alignment horizontal="right" vertical="center" readingOrder="1"/>
    </xf>
    <xf numFmtId="0" fontId="7" fillId="0" borderId="0" xfId="2" applyFont="1" applyFill="1" applyBorder="1" applyAlignment="1" applyProtection="1">
      <alignment horizontal="center" vertical="center"/>
    </xf>
    <xf numFmtId="0" fontId="5" fillId="2" borderId="33" xfId="2" applyFont="1" applyFill="1" applyBorder="1" applyAlignment="1" applyProtection="1">
      <alignment horizontal="right" vertical="center"/>
    </xf>
    <xf numFmtId="0" fontId="28" fillId="0" borderId="5" xfId="2" applyFont="1" applyBorder="1" applyAlignment="1" applyProtection="1">
      <alignment horizontal="right" vertical="center" readingOrder="1"/>
    </xf>
    <xf numFmtId="4" fontId="28" fillId="0" borderId="5" xfId="2" applyNumberFormat="1" applyFont="1" applyBorder="1" applyAlignment="1" applyProtection="1">
      <alignment horizontal="right" vertical="center"/>
    </xf>
    <xf numFmtId="0" fontId="28" fillId="0" borderId="8" xfId="2" applyFont="1" applyBorder="1" applyAlignment="1" applyProtection="1">
      <alignment horizontal="right" vertical="center" readingOrder="1"/>
    </xf>
    <xf numFmtId="0" fontId="28" fillId="0" borderId="65" xfId="2" applyFont="1" applyBorder="1" applyAlignment="1" applyProtection="1">
      <alignment horizontal="right" vertical="center" readingOrder="1"/>
    </xf>
    <xf numFmtId="0" fontId="28" fillId="0" borderId="43" xfId="2" applyFont="1" applyBorder="1" applyAlignment="1" applyProtection="1">
      <alignment horizontal="right" vertical="center" readingOrder="1"/>
    </xf>
    <xf numFmtId="0" fontId="28" fillId="0" borderId="5" xfId="2" applyFont="1" applyBorder="1" applyAlignment="1" applyProtection="1">
      <alignment horizontal="right" vertical="center"/>
    </xf>
    <xf numFmtId="0" fontId="28" fillId="0" borderId="0" xfId="2" applyFont="1" applyBorder="1" applyAlignment="1" applyProtection="1">
      <alignment horizontal="right" vertical="center"/>
    </xf>
    <xf numFmtId="0" fontId="2" fillId="2" borderId="33" xfId="2" applyFont="1" applyFill="1" applyBorder="1" applyAlignment="1" applyProtection="1">
      <alignment horizontal="right" vertical="center"/>
    </xf>
    <xf numFmtId="3" fontId="2" fillId="5" borderId="0" xfId="2" applyNumberFormat="1" applyFont="1" applyFill="1" applyBorder="1" applyAlignment="1" applyProtection="1">
      <alignment horizontal="right" vertical="center"/>
    </xf>
    <xf numFmtId="4" fontId="2" fillId="5" borderId="0" xfId="2" applyNumberFormat="1" applyFont="1" applyFill="1" applyBorder="1" applyAlignment="1" applyProtection="1">
      <alignment horizontal="right" vertical="center"/>
    </xf>
    <xf numFmtId="164" fontId="2" fillId="5" borderId="0" xfId="2" applyNumberFormat="1" applyFont="1" applyFill="1" applyBorder="1" applyAlignment="1" applyProtection="1">
      <alignment horizontal="right" vertical="center"/>
    </xf>
    <xf numFmtId="167" fontId="2" fillId="5" borderId="7" xfId="2" applyNumberFormat="1" applyFont="1" applyFill="1" applyBorder="1" applyAlignment="1" applyProtection="1">
      <alignment horizontal="right" vertical="center"/>
    </xf>
    <xf numFmtId="4" fontId="2" fillId="5" borderId="0" xfId="1" applyNumberFormat="1" applyFont="1" applyFill="1" applyBorder="1" applyAlignment="1" applyProtection="1">
      <alignment horizontal="right" vertical="center"/>
    </xf>
    <xf numFmtId="164" fontId="2" fillId="5" borderId="0" xfId="1" applyNumberFormat="1" applyFont="1" applyFill="1" applyBorder="1" applyAlignment="1" applyProtection="1">
      <alignment horizontal="right" vertical="center"/>
    </xf>
    <xf numFmtId="4" fontId="2" fillId="5" borderId="39" xfId="1" applyNumberFormat="1" applyFont="1" applyFill="1" applyBorder="1" applyAlignment="1" applyProtection="1">
      <alignment horizontal="right" vertical="center"/>
    </xf>
    <xf numFmtId="3" fontId="2" fillId="5" borderId="0" xfId="1" applyNumberFormat="1" applyFont="1" applyFill="1" applyBorder="1" applyAlignment="1" applyProtection="1">
      <alignment horizontal="right" vertical="center"/>
    </xf>
    <xf numFmtId="167" fontId="2" fillId="5" borderId="0" xfId="1" applyNumberFormat="1" applyFont="1" applyFill="1" applyBorder="1" applyAlignment="1" applyProtection="1">
      <alignment horizontal="right" vertical="center"/>
    </xf>
    <xf numFmtId="4" fontId="2" fillId="5" borderId="42" xfId="2" applyNumberFormat="1" applyFont="1" applyFill="1" applyBorder="1" applyAlignment="1" applyProtection="1">
      <alignment horizontal="right" vertical="center"/>
    </xf>
    <xf numFmtId="167" fontId="2" fillId="5" borderId="7" xfId="1" applyNumberFormat="1" applyFont="1" applyFill="1" applyBorder="1" applyAlignment="1" applyProtection="1">
      <alignment horizontal="right" vertical="center"/>
    </xf>
    <xf numFmtId="4" fontId="2" fillId="5" borderId="42" xfId="1" applyNumberFormat="1" applyFont="1" applyFill="1" applyBorder="1" applyAlignment="1" applyProtection="1">
      <alignment horizontal="right" vertical="center"/>
    </xf>
    <xf numFmtId="2" fontId="2" fillId="5" borderId="0" xfId="2" applyNumberFormat="1" applyFont="1" applyFill="1" applyBorder="1" applyAlignment="1" applyProtection="1">
      <alignment horizontal="right" vertical="center"/>
    </xf>
    <xf numFmtId="0" fontId="2" fillId="0" borderId="0" xfId="2" applyNumberFormat="1" applyFont="1" applyBorder="1" applyAlignment="1" applyProtection="1">
      <alignment horizontal="right" vertical="center"/>
    </xf>
    <xf numFmtId="3" fontId="2" fillId="0" borderId="0" xfId="2" applyNumberFormat="1" applyFont="1" applyBorder="1" applyAlignment="1" applyProtection="1">
      <alignment horizontal="right" vertical="center"/>
    </xf>
    <xf numFmtId="168" fontId="2" fillId="0" borderId="0" xfId="1" applyNumberFormat="1" applyFont="1" applyBorder="1" applyAlignment="1" applyProtection="1">
      <alignment horizontal="right" vertical="center"/>
    </xf>
    <xf numFmtId="0" fontId="2" fillId="0" borderId="7" xfId="2" applyNumberFormat="1" applyFont="1" applyBorder="1" applyAlignment="1" applyProtection="1">
      <alignment horizontal="right" vertical="center"/>
    </xf>
    <xf numFmtId="2" fontId="2" fillId="0" borderId="0" xfId="2" applyNumberFormat="1" applyFont="1" applyFill="1" applyBorder="1" applyAlignment="1" applyProtection="1">
      <alignment horizontal="right" vertical="center"/>
    </xf>
    <xf numFmtId="1" fontId="2" fillId="0" borderId="0" xfId="2" applyNumberFormat="1" applyFont="1" applyFill="1" applyBorder="1" applyAlignment="1" applyProtection="1">
      <alignment horizontal="right" vertical="center"/>
    </xf>
    <xf numFmtId="170" fontId="2" fillId="0" borderId="0" xfId="2" applyNumberFormat="1" applyFont="1" applyBorder="1" applyAlignment="1" applyProtection="1">
      <alignment horizontal="right" vertical="center"/>
    </xf>
    <xf numFmtId="169" fontId="2" fillId="0" borderId="0" xfId="2" applyNumberFormat="1" applyFont="1" applyFill="1" applyBorder="1" applyAlignment="1" applyProtection="1">
      <alignment horizontal="right" vertical="center"/>
    </xf>
    <xf numFmtId="170" fontId="2" fillId="0" borderId="0" xfId="2" applyNumberFormat="1" applyFont="1" applyFill="1" applyBorder="1" applyAlignment="1" applyProtection="1">
      <alignment horizontal="right" vertical="center"/>
    </xf>
    <xf numFmtId="169" fontId="2" fillId="0" borderId="0" xfId="2" applyNumberFormat="1" applyFont="1" applyBorder="1" applyAlignment="1" applyProtection="1">
      <alignment horizontal="right" vertical="center"/>
    </xf>
    <xf numFmtId="170" fontId="2" fillId="0" borderId="7" xfId="2" applyNumberFormat="1" applyFont="1" applyBorder="1" applyAlignment="1" applyProtection="1">
      <alignment horizontal="right" vertical="center"/>
    </xf>
    <xf numFmtId="169" fontId="2" fillId="0" borderId="7" xfId="2" applyNumberFormat="1" applyFont="1" applyBorder="1" applyAlignment="1" applyProtection="1">
      <alignment horizontal="right" vertical="center"/>
    </xf>
    <xf numFmtId="0" fontId="2" fillId="2" borderId="34" xfId="2" applyFont="1" applyFill="1" applyBorder="1" applyAlignment="1" applyProtection="1">
      <alignment horizontal="right" vertical="center" readingOrder="1"/>
    </xf>
    <xf numFmtId="0" fontId="2" fillId="0" borderId="5" xfId="2" applyNumberFormat="1" applyFont="1" applyBorder="1" applyAlignment="1" applyProtection="1">
      <alignment horizontal="right" vertical="center" readingOrder="2"/>
    </xf>
    <xf numFmtId="0" fontId="26" fillId="0" borderId="5" xfId="2" applyFont="1" applyBorder="1" applyAlignment="1" applyProtection="1">
      <alignment horizontal="right" vertical="center" readingOrder="1"/>
    </xf>
    <xf numFmtId="0" fontId="2" fillId="0" borderId="5" xfId="2" applyFont="1" applyBorder="1" applyAlignment="1" applyProtection="1">
      <alignment horizontal="right" vertical="center" readingOrder="1"/>
    </xf>
    <xf numFmtId="0" fontId="28" fillId="0" borderId="5" xfId="2" applyFont="1" applyBorder="1" applyAlignment="1" applyProtection="1">
      <alignment horizontal="right" vertical="center" wrapText="1" readingOrder="1"/>
    </xf>
    <xf numFmtId="0" fontId="28" fillId="0" borderId="5" xfId="2" applyFont="1" applyBorder="1" applyAlignment="1" applyProtection="1">
      <alignment horizontal="right" vertical="center" wrapText="1"/>
    </xf>
    <xf numFmtId="0" fontId="28" fillId="0" borderId="8" xfId="2" applyFont="1" applyBorder="1" applyAlignment="1" applyProtection="1">
      <alignment horizontal="right" vertical="center" wrapText="1"/>
    </xf>
    <xf numFmtId="0" fontId="2" fillId="0" borderId="5" xfId="2" applyFont="1" applyFill="1" applyBorder="1" applyAlignment="1" applyProtection="1">
      <alignment horizontal="right" vertical="center"/>
    </xf>
    <xf numFmtId="179" fontId="28" fillId="4" borderId="8" xfId="2" applyNumberFormat="1" applyFont="1" applyFill="1" applyBorder="1" applyAlignment="1" applyProtection="1">
      <alignment horizontal="right" vertical="center"/>
    </xf>
    <xf numFmtId="0" fontId="2" fillId="0" borderId="0" xfId="2" applyFont="1" applyFill="1" applyBorder="1" applyAlignment="1" applyProtection="1">
      <alignment horizontal="left" vertical="center" indent="1"/>
    </xf>
    <xf numFmtId="0" fontId="2" fillId="0" borderId="7" xfId="2" applyFont="1" applyFill="1" applyBorder="1" applyAlignment="1" applyProtection="1">
      <alignment horizontal="left" vertical="center" indent="1"/>
    </xf>
    <xf numFmtId="0" fontId="2" fillId="0" borderId="0" xfId="2" applyNumberFormat="1" applyFont="1" applyFill="1" applyBorder="1" applyAlignment="1" applyProtection="1">
      <alignment horizontal="right" vertical="center" indent="1"/>
    </xf>
    <xf numFmtId="4" fontId="2" fillId="0" borderId="7" xfId="2" applyNumberFormat="1" applyFont="1" applyBorder="1" applyAlignment="1" applyProtection="1">
      <alignment horizontal="right" vertical="center"/>
    </xf>
    <xf numFmtId="3" fontId="2" fillId="0" borderId="7" xfId="2" applyNumberFormat="1" applyFont="1" applyBorder="1" applyAlignment="1" applyProtection="1">
      <alignment horizontal="right" vertical="center"/>
    </xf>
    <xf numFmtId="9" fontId="2" fillId="0" borderId="0" xfId="4" applyFont="1" applyBorder="1" applyAlignment="1" applyProtection="1">
      <alignment horizontal="right" vertical="center"/>
    </xf>
    <xf numFmtId="4" fontId="2" fillId="0" borderId="0" xfId="2" applyNumberFormat="1" applyFont="1" applyBorder="1" applyAlignment="1" applyProtection="1">
      <alignment horizontal="right" vertical="center"/>
    </xf>
    <xf numFmtId="167" fontId="2" fillId="0" borderId="0" xfId="2" applyNumberFormat="1" applyFont="1" applyBorder="1" applyAlignment="1" applyProtection="1">
      <alignment horizontal="right" vertical="center"/>
    </xf>
    <xf numFmtId="170" fontId="2" fillId="0" borderId="0" xfId="2" applyNumberFormat="1" applyFont="1" applyFill="1" applyBorder="1" applyAlignment="1" applyProtection="1">
      <alignment horizontal="right" vertical="center" readingOrder="1"/>
    </xf>
    <xf numFmtId="167" fontId="2" fillId="0" borderId="7" xfId="2" applyNumberFormat="1" applyFont="1" applyBorder="1" applyAlignment="1" applyProtection="1">
      <alignment horizontal="right" vertical="center"/>
    </xf>
    <xf numFmtId="0" fontId="26" fillId="0" borderId="8" xfId="2" applyFont="1" applyBorder="1" applyAlignment="1" applyProtection="1">
      <alignment horizontal="right" vertical="center" readingOrder="1"/>
    </xf>
    <xf numFmtId="0" fontId="26" fillId="5" borderId="5" xfId="2" applyNumberFormat="1" applyFont="1" applyFill="1" applyBorder="1" applyAlignment="1" applyProtection="1">
      <alignment horizontal="right" vertical="center"/>
    </xf>
    <xf numFmtId="0" fontId="2" fillId="4" borderId="5" xfId="2" applyNumberFormat="1" applyFont="1" applyFill="1" applyBorder="1" applyAlignment="1" applyProtection="1">
      <alignment horizontal="right" vertical="center"/>
    </xf>
    <xf numFmtId="178" fontId="26" fillId="4" borderId="5" xfId="2" applyNumberFormat="1" applyFont="1" applyFill="1" applyBorder="1" applyAlignment="1" applyProtection="1">
      <alignment horizontal="right" vertical="center"/>
    </xf>
    <xf numFmtId="177" fontId="26" fillId="4" borderId="8" xfId="2" applyNumberFormat="1" applyFont="1" applyFill="1" applyBorder="1" applyAlignment="1" applyProtection="1">
      <alignment horizontal="right" vertical="center"/>
    </xf>
    <xf numFmtId="0" fontId="2" fillId="0" borderId="33" xfId="2" applyFont="1" applyBorder="1" applyAlignment="1" applyProtection="1">
      <alignment vertical="center" textRotation="90"/>
    </xf>
    <xf numFmtId="0" fontId="1" fillId="0" borderId="7" xfId="2" applyBorder="1" applyAlignment="1" applyProtection="1">
      <alignment horizontal="center" vertical="center"/>
    </xf>
    <xf numFmtId="0" fontId="28" fillId="0" borderId="20" xfId="2" applyFont="1" applyBorder="1" applyAlignment="1" applyProtection="1">
      <alignment horizontal="right" vertical="center" indent="1" readingOrder="1"/>
      <protection locked="0"/>
    </xf>
    <xf numFmtId="4" fontId="2" fillId="0" borderId="11" xfId="2" applyNumberFormat="1" applyFont="1" applyBorder="1" applyAlignment="1" applyProtection="1">
      <alignment horizontal="right" vertical="center" indent="1"/>
    </xf>
    <xf numFmtId="0" fontId="43" fillId="0" borderId="23" xfId="2" applyFont="1" applyBorder="1"/>
    <xf numFmtId="0" fontId="43" fillId="0" borderId="20" xfId="2" applyFont="1" applyBorder="1"/>
    <xf numFmtId="0" fontId="39" fillId="7" borderId="59" xfId="0" applyFont="1" applyFill="1" applyBorder="1" applyAlignment="1">
      <alignment horizontal="left" vertical="center" wrapText="1"/>
    </xf>
    <xf numFmtId="0" fontId="40" fillId="7" borderId="59" xfId="0" applyFont="1" applyFill="1" applyBorder="1" applyAlignment="1">
      <alignment horizontal="left" vertical="center" wrapText="1"/>
    </xf>
    <xf numFmtId="169" fontId="16" fillId="0" borderId="23" xfId="2" applyNumberFormat="1" applyFont="1" applyBorder="1" applyAlignment="1">
      <alignment horizontal="center" vertical="center"/>
    </xf>
    <xf numFmtId="169" fontId="16" fillId="0" borderId="25" xfId="2" applyNumberFormat="1" applyFont="1" applyBorder="1" applyAlignment="1">
      <alignment horizontal="center" vertical="center"/>
    </xf>
    <xf numFmtId="0" fontId="16" fillId="0" borderId="23" xfId="2" applyFont="1" applyBorder="1" applyAlignment="1">
      <alignment horizontal="center" vertical="center"/>
    </xf>
    <xf numFmtId="173" fontId="45" fillId="7" borderId="62" xfId="0" applyNumberFormat="1" applyFont="1" applyFill="1" applyBorder="1" applyAlignment="1">
      <alignment horizontal="center" vertical="center" wrapText="1"/>
    </xf>
    <xf numFmtId="173" fontId="45" fillId="7" borderId="63" xfId="0" applyNumberFormat="1" applyFont="1" applyFill="1" applyBorder="1" applyAlignment="1">
      <alignment horizontal="center" vertical="center" wrapText="1"/>
    </xf>
    <xf numFmtId="0" fontId="46" fillId="7" borderId="59" xfId="0" applyFont="1" applyFill="1" applyBorder="1" applyAlignment="1">
      <alignment horizontal="left" vertical="center" wrapText="1"/>
    </xf>
    <xf numFmtId="182" fontId="45" fillId="7" borderId="59" xfId="0" applyNumberFormat="1" applyFont="1" applyFill="1" applyBorder="1" applyAlignment="1">
      <alignment horizontal="center" vertical="center" wrapText="1"/>
    </xf>
    <xf numFmtId="182" fontId="45" fillId="7" borderId="60" xfId="0" applyNumberFormat="1" applyFont="1" applyFill="1" applyBorder="1" applyAlignment="1">
      <alignment horizontal="center" vertical="center" wrapText="1"/>
    </xf>
    <xf numFmtId="1" fontId="45" fillId="7" borderId="59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0" fontId="15" fillId="0" borderId="0" xfId="0" applyFont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0" fillId="0" borderId="39" xfId="0" applyBorder="1"/>
    <xf numFmtId="0" fontId="52" fillId="0" borderId="0" xfId="0" applyFont="1" applyAlignment="1">
      <alignment horizontal="center"/>
    </xf>
    <xf numFmtId="0" fontId="51" fillId="0" borderId="0" xfId="0" applyFont="1" applyBorder="1"/>
    <xf numFmtId="0" fontId="51" fillId="0" borderId="0" xfId="0" applyFont="1"/>
    <xf numFmtId="0" fontId="49" fillId="0" borderId="0" xfId="2" applyFont="1" applyBorder="1" applyAlignment="1">
      <alignment horizontal="center"/>
    </xf>
    <xf numFmtId="183" fontId="12" fillId="6" borderId="13" xfId="2" applyNumberFormat="1" applyFont="1" applyFill="1" applyBorder="1" applyAlignment="1">
      <alignment horizontal="center" vertical="top" wrapText="1"/>
    </xf>
    <xf numFmtId="183" fontId="11" fillId="7" borderId="13" xfId="2" applyNumberFormat="1" applyFont="1" applyFill="1" applyBorder="1" applyAlignment="1">
      <alignment horizontal="center" vertical="top" wrapText="1"/>
    </xf>
    <xf numFmtId="0" fontId="54" fillId="0" borderId="31" xfId="2" applyFont="1" applyBorder="1" applyAlignment="1">
      <alignment horizontal="center"/>
    </xf>
    <xf numFmtId="184" fontId="11" fillId="7" borderId="48" xfId="2" applyNumberFormat="1" applyFont="1" applyFill="1" applyBorder="1" applyAlignment="1">
      <alignment horizontal="center" vertical="top" wrapText="1"/>
    </xf>
    <xf numFmtId="0" fontId="50" fillId="0" borderId="18" xfId="0" applyFont="1" applyBorder="1" applyAlignment="1">
      <alignment horizontal="left" vertical="center"/>
    </xf>
    <xf numFmtId="0" fontId="48" fillId="0" borderId="42" xfId="0" applyFont="1" applyBorder="1"/>
    <xf numFmtId="0" fontId="48" fillId="0" borderId="42" xfId="0" applyFont="1" applyBorder="1" applyAlignment="1">
      <alignment horizontal="right" readingOrder="2"/>
    </xf>
    <xf numFmtId="0" fontId="50" fillId="0" borderId="45" xfId="0" applyFont="1" applyBorder="1"/>
    <xf numFmtId="0" fontId="50" fillId="0" borderId="51" xfId="0" applyFont="1" applyBorder="1" applyAlignment="1">
      <alignment horizontal="left" vertical="center"/>
    </xf>
    <xf numFmtId="0" fontId="48" fillId="0" borderId="0" xfId="0" applyFont="1" applyBorder="1" applyAlignment="1">
      <alignment horizontal="right" readingOrder="2"/>
    </xf>
    <xf numFmtId="0" fontId="50" fillId="0" borderId="52" xfId="0" applyFont="1" applyBorder="1"/>
    <xf numFmtId="0" fontId="50" fillId="0" borderId="47" xfId="0" applyFont="1" applyBorder="1" applyAlignment="1">
      <alignment horizontal="left" vertical="center"/>
    </xf>
    <xf numFmtId="0" fontId="48" fillId="0" borderId="39" xfId="0" applyFont="1" applyBorder="1"/>
    <xf numFmtId="0" fontId="48" fillId="0" borderId="39" xfId="0" applyFont="1" applyBorder="1" applyAlignment="1">
      <alignment horizontal="right" readingOrder="2"/>
    </xf>
    <xf numFmtId="0" fontId="0" fillId="0" borderId="46" xfId="0" applyBorder="1"/>
    <xf numFmtId="0" fontId="50" fillId="0" borderId="46" xfId="0" applyFont="1" applyBorder="1"/>
    <xf numFmtId="0" fontId="0" fillId="0" borderId="42" xfId="0" applyBorder="1"/>
    <xf numFmtId="0" fontId="0" fillId="0" borderId="45" xfId="0" applyBorder="1"/>
    <xf numFmtId="0" fontId="0" fillId="0" borderId="52" xfId="0" applyBorder="1"/>
    <xf numFmtId="0" fontId="53" fillId="0" borderId="14" xfId="0" applyFont="1" applyBorder="1" applyAlignment="1">
      <alignment horizontal="center" vertical="center"/>
    </xf>
    <xf numFmtId="0" fontId="52" fillId="0" borderId="44" xfId="0" applyFont="1" applyBorder="1" applyAlignment="1">
      <alignment horizontal="center"/>
    </xf>
    <xf numFmtId="0" fontId="52" fillId="0" borderId="44" xfId="0" applyFont="1" applyBorder="1" applyAlignment="1">
      <alignment horizontal="right"/>
    </xf>
    <xf numFmtId="0" fontId="51" fillId="0" borderId="44" xfId="0" applyFont="1" applyBorder="1"/>
    <xf numFmtId="0" fontId="51" fillId="0" borderId="40" xfId="0" applyFont="1" applyBorder="1"/>
    <xf numFmtId="0" fontId="17" fillId="0" borderId="0" xfId="2" applyFont="1" applyBorder="1" applyAlignment="1" applyProtection="1">
      <alignment horizontal="left" vertical="center" indent="1"/>
    </xf>
    <xf numFmtId="0" fontId="49" fillId="0" borderId="0" xfId="2" applyNumberFormat="1" applyFont="1" applyBorder="1" applyAlignment="1" applyProtection="1">
      <alignment horizontal="right" vertical="center"/>
    </xf>
    <xf numFmtId="0" fontId="57" fillId="4" borderId="3" xfId="2" applyNumberFormat="1" applyFont="1" applyFill="1" applyBorder="1" applyAlignment="1" applyProtection="1">
      <alignment horizontal="right" vertical="center" indent="1" readingOrder="2"/>
    </xf>
    <xf numFmtId="165" fontId="1" fillId="0" borderId="33" xfId="2" applyNumberFormat="1" applyBorder="1" applyAlignment="1" applyProtection="1">
      <alignment horizontal="right" vertical="center" indent="1"/>
    </xf>
    <xf numFmtId="0" fontId="2" fillId="0" borderId="11" xfId="2" applyFont="1" applyBorder="1" applyAlignment="1" applyProtection="1">
      <alignment horizontal="right" vertical="center" indent="1" readingOrder="1"/>
    </xf>
    <xf numFmtId="169" fontId="2" fillId="0" borderId="0" xfId="2" applyNumberFormat="1" applyFont="1" applyFill="1" applyBorder="1" applyAlignment="1" applyProtection="1">
      <alignment horizontal="right" vertical="center"/>
      <protection locked="0"/>
    </xf>
    <xf numFmtId="170" fontId="2" fillId="0" borderId="0" xfId="2" applyNumberFormat="1" applyFont="1" applyFill="1" applyBorder="1" applyAlignment="1" applyProtection="1">
      <alignment horizontal="right" vertical="center"/>
      <protection locked="0"/>
    </xf>
    <xf numFmtId="0" fontId="17" fillId="0" borderId="0" xfId="2" applyFont="1" applyBorder="1" applyAlignment="1" applyProtection="1">
      <alignment vertical="center"/>
    </xf>
    <xf numFmtId="0" fontId="58" fillId="0" borderId="0" xfId="2" applyFont="1" applyBorder="1" applyAlignment="1" applyProtection="1">
      <alignment vertical="top"/>
    </xf>
    <xf numFmtId="169" fontId="0" fillId="9" borderId="13" xfId="0" applyNumberFormat="1" applyFill="1" applyBorder="1" applyAlignment="1">
      <alignment horizontal="center"/>
    </xf>
    <xf numFmtId="169" fontId="0" fillId="0" borderId="13" xfId="0" applyNumberFormat="1" applyBorder="1" applyAlignment="1">
      <alignment horizontal="center"/>
    </xf>
    <xf numFmtId="0" fontId="0" fillId="0" borderId="66" xfId="0" applyBorder="1" applyAlignment="1">
      <alignment horizontal="center"/>
    </xf>
    <xf numFmtId="0" fontId="0" fillId="10" borderId="17" xfId="0" applyFill="1" applyBorder="1" applyAlignment="1">
      <alignment horizontal="center"/>
    </xf>
    <xf numFmtId="0" fontId="0" fillId="0" borderId="17" xfId="0" applyBorder="1" applyAlignment="1">
      <alignment horizontal="center"/>
    </xf>
    <xf numFmtId="169" fontId="0" fillId="9" borderId="17" xfId="0" applyNumberFormat="1" applyFill="1" applyBorder="1" applyAlignment="1">
      <alignment horizontal="center"/>
    </xf>
    <xf numFmtId="0" fontId="0" fillId="0" borderId="3" xfId="0" applyBorder="1"/>
    <xf numFmtId="0" fontId="59" fillId="0" borderId="0" xfId="0" applyFont="1" applyBorder="1"/>
    <xf numFmtId="0" fontId="24" fillId="0" borderId="0" xfId="0" applyFont="1" applyBorder="1" applyAlignment="1">
      <alignment horizontal="right"/>
    </xf>
    <xf numFmtId="0" fontId="0" fillId="0" borderId="5" xfId="0" applyBorder="1"/>
    <xf numFmtId="0" fontId="0" fillId="0" borderId="3" xfId="0" applyFill="1" applyBorder="1" applyAlignment="1">
      <alignment horizontal="center"/>
    </xf>
    <xf numFmtId="0" fontId="24" fillId="0" borderId="0" xfId="0" applyFont="1" applyBorder="1"/>
    <xf numFmtId="0" fontId="0" fillId="0" borderId="6" xfId="0" applyFill="1" applyBorder="1" applyAlignment="1">
      <alignment horizontal="center"/>
    </xf>
    <xf numFmtId="0" fontId="59" fillId="0" borderId="7" xfId="0" applyFont="1" applyBorder="1"/>
    <xf numFmtId="0" fontId="24" fillId="0" borderId="7" xfId="0" applyFont="1" applyBorder="1"/>
    <xf numFmtId="0" fontId="0" fillId="0" borderId="8" xfId="0" applyBorder="1"/>
    <xf numFmtId="185" fontId="2" fillId="0" borderId="7" xfId="2" applyNumberFormat="1" applyFont="1" applyFill="1" applyBorder="1" applyAlignment="1" applyProtection="1">
      <alignment horizontal="right" vertical="center"/>
    </xf>
    <xf numFmtId="186" fontId="2" fillId="0" borderId="0" xfId="2" applyNumberFormat="1" applyFont="1" applyFill="1" applyBorder="1" applyAlignment="1" applyProtection="1">
      <alignment horizontal="right" vertical="center"/>
    </xf>
    <xf numFmtId="0" fontId="2" fillId="0" borderId="3" xfId="2" applyFont="1" applyFill="1" applyBorder="1" applyAlignment="1" applyProtection="1">
      <alignment horizontal="center" vertical="center"/>
    </xf>
    <xf numFmtId="0" fontId="2" fillId="0" borderId="0" xfId="2" applyFont="1" applyFill="1" applyBorder="1" applyAlignment="1" applyProtection="1">
      <alignment horizontal="center" vertical="center"/>
    </xf>
    <xf numFmtId="0" fontId="1" fillId="0" borderId="10" xfId="2" applyBorder="1" applyAlignment="1">
      <alignment horizontal="right"/>
    </xf>
    <xf numFmtId="0" fontId="1" fillId="0" borderId="20" xfId="2" applyBorder="1"/>
    <xf numFmtId="0" fontId="1" fillId="0" borderId="11" xfId="2" applyBorder="1" applyAlignment="1">
      <alignment horizontal="right"/>
    </xf>
    <xf numFmtId="0" fontId="1" fillId="0" borderId="26" xfId="2" applyBorder="1" applyAlignment="1">
      <alignment horizontal="right"/>
    </xf>
    <xf numFmtId="0" fontId="1" fillId="0" borderId="27" xfId="2" applyBorder="1"/>
    <xf numFmtId="0" fontId="1" fillId="0" borderId="28" xfId="2" applyBorder="1" applyAlignment="1">
      <alignment horizontal="right"/>
    </xf>
    <xf numFmtId="0" fontId="1" fillId="0" borderId="12" xfId="2" applyBorder="1"/>
    <xf numFmtId="0" fontId="1" fillId="0" borderId="13" xfId="2" applyBorder="1"/>
    <xf numFmtId="0" fontId="1" fillId="0" borderId="15" xfId="2" applyBorder="1"/>
    <xf numFmtId="0" fontId="1" fillId="0" borderId="22" xfId="2" applyBorder="1"/>
    <xf numFmtId="0" fontId="1" fillId="0" borderId="23" xfId="2" applyBorder="1"/>
    <xf numFmtId="0" fontId="1" fillId="0" borderId="25" xfId="2" applyBorder="1"/>
    <xf numFmtId="187" fontId="2" fillId="4" borderId="3" xfId="2" applyNumberFormat="1" applyFont="1" applyFill="1" applyBorder="1" applyAlignment="1" applyProtection="1">
      <alignment horizontal="left" vertical="center" indent="1"/>
    </xf>
    <xf numFmtId="188" fontId="2" fillId="4" borderId="3" xfId="2" applyNumberFormat="1" applyFont="1" applyFill="1" applyBorder="1" applyAlignment="1" applyProtection="1">
      <alignment horizontal="left" vertical="center" indent="1"/>
    </xf>
    <xf numFmtId="169" fontId="2" fillId="0" borderId="39" xfId="2" applyNumberFormat="1" applyFont="1" applyBorder="1" applyAlignment="1" applyProtection="1">
      <alignment horizontal="right" vertical="center"/>
    </xf>
    <xf numFmtId="175" fontId="2" fillId="4" borderId="64" xfId="2" applyNumberFormat="1" applyFont="1" applyFill="1" applyBorder="1" applyAlignment="1" applyProtection="1">
      <alignment horizontal="left" vertical="center" indent="1"/>
    </xf>
    <xf numFmtId="0" fontId="2" fillId="0" borderId="39" xfId="2" applyFont="1" applyFill="1" applyBorder="1" applyAlignment="1" applyProtection="1">
      <alignment horizontal="center" vertical="center"/>
    </xf>
    <xf numFmtId="170" fontId="2" fillId="0" borderId="39" xfId="2" applyNumberFormat="1" applyFont="1" applyBorder="1" applyAlignment="1" applyProtection="1">
      <alignment horizontal="right" vertical="center"/>
    </xf>
    <xf numFmtId="174" fontId="2" fillId="4" borderId="64" xfId="2" applyNumberFormat="1" applyFont="1" applyFill="1" applyBorder="1" applyAlignment="1" applyProtection="1">
      <alignment horizontal="left" vertical="center" indent="1"/>
    </xf>
    <xf numFmtId="0" fontId="28" fillId="0" borderId="65" xfId="2" applyFont="1" applyBorder="1" applyAlignment="1" applyProtection="1">
      <alignment horizontal="right" vertical="center" wrapText="1"/>
    </xf>
    <xf numFmtId="0" fontId="28" fillId="12" borderId="8" xfId="2" applyFont="1" applyFill="1" applyBorder="1" applyAlignment="1" applyProtection="1">
      <alignment horizontal="right" vertical="center" wrapText="1"/>
    </xf>
    <xf numFmtId="0" fontId="28" fillId="12" borderId="65" xfId="2" applyFont="1" applyFill="1" applyBorder="1" applyAlignment="1" applyProtection="1">
      <alignment horizontal="right" vertical="center" wrapText="1"/>
    </xf>
    <xf numFmtId="0" fontId="4" fillId="0" borderId="0" xfId="2" applyFont="1" applyBorder="1" applyAlignment="1" applyProtection="1">
      <alignment horizontal="right" vertical="center"/>
    </xf>
    <xf numFmtId="0" fontId="17" fillId="0" borderId="0" xfId="2" applyNumberFormat="1" applyFont="1" applyBorder="1" applyAlignment="1" applyProtection="1">
      <alignment horizontal="right" vertical="center" indent="1" readingOrder="2"/>
      <protection locked="0" hidden="1"/>
    </xf>
    <xf numFmtId="2" fontId="2" fillId="0" borderId="0" xfId="2" applyNumberFormat="1" applyFont="1" applyBorder="1" applyAlignment="1" applyProtection="1">
      <alignment horizontal="right" vertical="center"/>
    </xf>
    <xf numFmtId="182" fontId="45" fillId="7" borderId="0" xfId="0" applyNumberFormat="1" applyFont="1" applyFill="1" applyBorder="1" applyAlignment="1">
      <alignment horizontal="center" vertical="center" wrapText="1"/>
    </xf>
    <xf numFmtId="169" fontId="16" fillId="0" borderId="0" xfId="2" applyNumberFormat="1" applyFont="1" applyBorder="1" applyAlignment="1">
      <alignment horizontal="center" vertical="center"/>
    </xf>
    <xf numFmtId="0" fontId="2" fillId="0" borderId="3" xfId="2" applyFont="1" applyFill="1" applyBorder="1" applyAlignment="1" applyProtection="1">
      <alignment horizontal="center" vertical="center"/>
    </xf>
    <xf numFmtId="0" fontId="2" fillId="0" borderId="0" xfId="2" applyFont="1" applyFill="1" applyBorder="1" applyAlignment="1" applyProtection="1">
      <alignment horizontal="center" vertical="center"/>
    </xf>
    <xf numFmtId="0" fontId="2" fillId="0" borderId="12" xfId="2" applyFont="1" applyBorder="1" applyAlignment="1" applyProtection="1">
      <alignment horizontal="right" vertical="center" wrapText="1" indent="1"/>
    </xf>
    <xf numFmtId="167" fontId="2" fillId="0" borderId="13" xfId="2" applyNumberFormat="1" applyFont="1" applyBorder="1" applyAlignment="1" applyProtection="1">
      <alignment horizontal="right" vertical="center" indent="1"/>
      <protection locked="0"/>
    </xf>
    <xf numFmtId="0" fontId="2" fillId="0" borderId="67" xfId="2" applyFont="1" applyBorder="1" applyAlignment="1" applyProtection="1">
      <alignment horizontal="right" vertical="center" indent="1"/>
    </xf>
    <xf numFmtId="0" fontId="2" fillId="0" borderId="40" xfId="2" applyFont="1" applyBorder="1" applyAlignment="1" applyProtection="1">
      <alignment horizontal="right" vertical="center" indent="1"/>
    </xf>
    <xf numFmtId="0" fontId="2" fillId="0" borderId="40" xfId="2" applyFont="1" applyBorder="1" applyAlignment="1" applyProtection="1">
      <alignment vertical="center"/>
    </xf>
    <xf numFmtId="0" fontId="2" fillId="0" borderId="40" xfId="2" applyFont="1" applyBorder="1" applyAlignment="1" applyProtection="1">
      <alignment horizontal="right" vertical="center" wrapText="1" indent="1"/>
    </xf>
    <xf numFmtId="0" fontId="20" fillId="0" borderId="68" xfId="2" applyFont="1" applyBorder="1" applyAlignment="1" applyProtection="1">
      <alignment horizontal="right" vertical="center" wrapText="1" indent="1"/>
    </xf>
    <xf numFmtId="0" fontId="2" fillId="0" borderId="15" xfId="2" applyFont="1" applyBorder="1" applyAlignment="1" applyProtection="1">
      <alignment horizontal="right" vertical="center" wrapText="1" indent="1"/>
    </xf>
    <xf numFmtId="176" fontId="2" fillId="4" borderId="64" xfId="2" applyNumberFormat="1" applyFont="1" applyFill="1" applyBorder="1" applyAlignment="1" applyProtection="1">
      <alignment horizontal="left" vertical="center" indent="1"/>
    </xf>
    <xf numFmtId="0" fontId="2" fillId="2" borderId="1" xfId="2" applyFont="1" applyFill="1" applyBorder="1" applyAlignment="1" applyProtection="1">
      <alignment horizontal="center" vertical="center"/>
    </xf>
    <xf numFmtId="0" fontId="2" fillId="2" borderId="2" xfId="2" applyFont="1" applyFill="1" applyBorder="1" applyAlignment="1" applyProtection="1">
      <alignment horizontal="center" vertical="center"/>
    </xf>
    <xf numFmtId="0" fontId="2" fillId="2" borderId="4" xfId="2" applyFont="1" applyFill="1" applyBorder="1" applyAlignment="1" applyProtection="1">
      <alignment horizontal="center" vertical="center"/>
    </xf>
    <xf numFmtId="0" fontId="2" fillId="0" borderId="29" xfId="2" applyFont="1" applyBorder="1" applyAlignment="1" applyProtection="1">
      <alignment horizontal="center" vertical="center" textRotation="90"/>
    </xf>
    <xf numFmtId="0" fontId="2" fillId="0" borderId="30" xfId="2" applyFont="1" applyBorder="1" applyAlignment="1" applyProtection="1">
      <alignment horizontal="center" vertical="center" textRotation="90"/>
    </xf>
    <xf numFmtId="0" fontId="2" fillId="0" borderId="9" xfId="2" applyFont="1" applyBorder="1" applyAlignment="1" applyProtection="1">
      <alignment horizontal="center" vertical="center" textRotation="90"/>
    </xf>
    <xf numFmtId="0" fontId="20" fillId="0" borderId="29" xfId="2" applyFont="1" applyBorder="1" applyAlignment="1" applyProtection="1">
      <alignment horizontal="center" vertical="center" textRotation="90"/>
    </xf>
    <xf numFmtId="0" fontId="20" fillId="0" borderId="30" xfId="2" applyFont="1" applyBorder="1" applyAlignment="1" applyProtection="1">
      <alignment horizontal="center" vertical="center" textRotation="90"/>
    </xf>
    <xf numFmtId="0" fontId="20" fillId="0" borderId="9" xfId="2" applyFont="1" applyBorder="1" applyAlignment="1" applyProtection="1">
      <alignment horizontal="center" vertical="center" textRotation="90"/>
    </xf>
    <xf numFmtId="49" fontId="20" fillId="0" borderId="17" xfId="2" applyNumberFormat="1" applyFont="1" applyBorder="1" applyAlignment="1" applyProtection="1">
      <alignment horizontal="right" vertical="center" wrapText="1"/>
      <protection locked="0"/>
    </xf>
    <xf numFmtId="0" fontId="1" fillId="0" borderId="0" xfId="2" applyBorder="1" applyAlignment="1" applyProtection="1">
      <alignment horizontal="center" vertical="center"/>
      <protection locked="0"/>
    </xf>
    <xf numFmtId="0" fontId="1" fillId="0" borderId="0" xfId="2" applyAlignment="1" applyProtection="1">
      <alignment horizontal="center" vertical="center"/>
      <protection locked="0"/>
    </xf>
    <xf numFmtId="3" fontId="2" fillId="0" borderId="13" xfId="2" applyNumberFormat="1" applyFont="1" applyBorder="1" applyAlignment="1" applyProtection="1">
      <alignment vertical="center"/>
      <protection locked="0"/>
    </xf>
    <xf numFmtId="0" fontId="2" fillId="0" borderId="14" xfId="2" applyFont="1" applyBorder="1" applyAlignment="1" applyProtection="1">
      <alignment horizontal="right" vertical="center"/>
      <protection locked="0"/>
    </xf>
    <xf numFmtId="0" fontId="2" fillId="0" borderId="44" xfId="2" applyFont="1" applyBorder="1" applyAlignment="1" applyProtection="1">
      <alignment horizontal="right" vertical="center"/>
      <protection locked="0"/>
    </xf>
    <xf numFmtId="0" fontId="2" fillId="0" borderId="40" xfId="2" applyFont="1" applyBorder="1" applyAlignment="1" applyProtection="1">
      <alignment horizontal="right" vertical="center"/>
      <protection locked="0"/>
    </xf>
    <xf numFmtId="0" fontId="2" fillId="3" borderId="1" xfId="2" applyFont="1" applyFill="1" applyBorder="1" applyAlignment="1" applyProtection="1">
      <alignment horizontal="center" vertical="center"/>
    </xf>
    <xf numFmtId="0" fontId="2" fillId="3" borderId="2" xfId="2" applyFont="1" applyFill="1" applyBorder="1" applyAlignment="1" applyProtection="1">
      <alignment horizontal="center" vertical="center"/>
    </xf>
    <xf numFmtId="0" fontId="2" fillId="3" borderId="4" xfId="2" applyFont="1" applyFill="1" applyBorder="1" applyAlignment="1" applyProtection="1">
      <alignment horizontal="center" vertical="center"/>
    </xf>
    <xf numFmtId="0" fontId="2" fillId="0" borderId="3" xfId="2" applyFont="1" applyFill="1" applyBorder="1" applyAlignment="1" applyProtection="1">
      <alignment horizontal="center" vertical="center"/>
    </xf>
    <xf numFmtId="0" fontId="2" fillId="0" borderId="0" xfId="2" applyFont="1" applyFill="1" applyBorder="1" applyAlignment="1" applyProtection="1">
      <alignment horizontal="center" vertical="center"/>
    </xf>
    <xf numFmtId="0" fontId="8" fillId="3" borderId="32" xfId="2" applyFont="1" applyFill="1" applyBorder="1" applyAlignment="1" applyProtection="1">
      <alignment horizontal="center" vertical="center"/>
    </xf>
    <xf numFmtId="0" fontId="8" fillId="3" borderId="33" xfId="2" applyFont="1" applyFill="1" applyBorder="1" applyAlignment="1" applyProtection="1">
      <alignment horizontal="center" vertical="center"/>
    </xf>
    <xf numFmtId="0" fontId="8" fillId="3" borderId="34" xfId="2" applyFont="1" applyFill="1" applyBorder="1" applyAlignment="1" applyProtection="1">
      <alignment horizontal="center" vertical="center"/>
    </xf>
    <xf numFmtId="0" fontId="8" fillId="3" borderId="1" xfId="2" applyFont="1" applyFill="1" applyBorder="1" applyAlignment="1" applyProtection="1">
      <alignment horizontal="center" vertical="center"/>
    </xf>
    <xf numFmtId="0" fontId="8" fillId="3" borderId="2" xfId="2" applyFont="1" applyFill="1" applyBorder="1" applyAlignment="1" applyProtection="1">
      <alignment horizontal="center" vertical="center"/>
    </xf>
    <xf numFmtId="0" fontId="8" fillId="3" borderId="4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right" vertical="center"/>
    </xf>
    <xf numFmtId="0" fontId="2" fillId="0" borderId="0" xfId="2" applyFont="1" applyBorder="1" applyAlignment="1" applyProtection="1">
      <alignment horizontal="left" vertical="center"/>
    </xf>
    <xf numFmtId="4" fontId="2" fillId="0" borderId="0" xfId="2" applyNumberFormat="1" applyFont="1" applyBorder="1" applyAlignment="1" applyProtection="1">
      <alignment vertical="center"/>
    </xf>
    <xf numFmtId="0" fontId="2" fillId="0" borderId="0" xfId="2" applyFont="1" applyBorder="1" applyAlignment="1" applyProtection="1">
      <alignment horizontal="right" vertical="center" readingOrder="1"/>
    </xf>
    <xf numFmtId="0" fontId="8" fillId="8" borderId="32" xfId="2" applyFont="1" applyFill="1" applyBorder="1" applyAlignment="1" applyProtection="1">
      <alignment horizontal="center" vertical="center"/>
    </xf>
    <xf numFmtId="0" fontId="8" fillId="8" borderId="33" xfId="2" applyFont="1" applyFill="1" applyBorder="1" applyAlignment="1" applyProtection="1">
      <alignment horizontal="center" vertical="center"/>
    </xf>
    <xf numFmtId="0" fontId="8" fillId="8" borderId="34" xfId="2" applyFont="1" applyFill="1" applyBorder="1" applyAlignment="1" applyProtection="1">
      <alignment horizontal="center" vertical="center"/>
    </xf>
    <xf numFmtId="0" fontId="7" fillId="0" borderId="0" xfId="2" applyFont="1" applyFill="1" applyBorder="1" applyAlignment="1" applyProtection="1">
      <alignment horizontal="center" vertical="center"/>
    </xf>
    <xf numFmtId="0" fontId="18" fillId="3" borderId="1" xfId="2" applyFont="1" applyFill="1" applyBorder="1" applyAlignment="1" applyProtection="1">
      <alignment horizontal="center" vertical="center" wrapText="1"/>
    </xf>
    <xf numFmtId="0" fontId="18" fillId="3" borderId="2" xfId="2" applyFont="1" applyFill="1" applyBorder="1" applyAlignment="1" applyProtection="1">
      <alignment horizontal="center" vertical="center" wrapText="1"/>
    </xf>
    <xf numFmtId="0" fontId="18" fillId="3" borderId="4" xfId="2" applyFont="1" applyFill="1" applyBorder="1" applyAlignment="1" applyProtection="1">
      <alignment horizontal="center" vertical="center" wrapText="1"/>
    </xf>
    <xf numFmtId="0" fontId="1" fillId="0" borderId="32" xfId="2" applyBorder="1" applyAlignment="1">
      <alignment horizontal="center"/>
    </xf>
    <xf numFmtId="0" fontId="1" fillId="0" borderId="33" xfId="2" applyBorder="1" applyAlignment="1">
      <alignment horizontal="center"/>
    </xf>
    <xf numFmtId="0" fontId="1" fillId="0" borderId="34" xfId="2" applyBorder="1" applyAlignment="1">
      <alignment horizontal="center"/>
    </xf>
    <xf numFmtId="0" fontId="1" fillId="0" borderId="35" xfId="2" applyBorder="1" applyAlignment="1">
      <alignment horizontal="center"/>
    </xf>
    <xf numFmtId="0" fontId="1" fillId="0" borderId="36" xfId="2" applyBorder="1" applyAlignment="1">
      <alignment horizontal="center"/>
    </xf>
    <xf numFmtId="0" fontId="1" fillId="0" borderId="37" xfId="2" applyBorder="1" applyAlignment="1">
      <alignment horizontal="center"/>
    </xf>
    <xf numFmtId="0" fontId="1" fillId="0" borderId="10" xfId="2" applyBorder="1" applyAlignment="1">
      <alignment horizontal="center"/>
    </xf>
    <xf numFmtId="0" fontId="1" fillId="0" borderId="20" xfId="2" applyBorder="1" applyAlignment="1">
      <alignment horizontal="center"/>
    </xf>
    <xf numFmtId="0" fontId="1" fillId="0" borderId="21" xfId="2" applyBorder="1" applyAlignment="1">
      <alignment horizontal="center"/>
    </xf>
    <xf numFmtId="0" fontId="1" fillId="0" borderId="11" xfId="2" applyBorder="1" applyAlignment="1">
      <alignment horizontal="center"/>
    </xf>
    <xf numFmtId="0" fontId="16" fillId="0" borderId="39" xfId="2" applyFont="1" applyBorder="1" applyAlignment="1">
      <alignment horizontal="center"/>
    </xf>
    <xf numFmtId="0" fontId="16" fillId="0" borderId="0" xfId="2" applyFont="1" applyBorder="1" applyAlignment="1">
      <alignment horizontal="center"/>
    </xf>
    <xf numFmtId="0" fontId="16" fillId="0" borderId="1" xfId="2" applyFont="1" applyBorder="1" applyAlignment="1">
      <alignment horizontal="center" wrapText="1"/>
    </xf>
    <xf numFmtId="0" fontId="16" fillId="0" borderId="4" xfId="2" applyFont="1" applyBorder="1" applyAlignment="1">
      <alignment horizontal="center" wrapText="1"/>
    </xf>
    <xf numFmtId="0" fontId="16" fillId="0" borderId="3" xfId="2" applyFont="1" applyBorder="1" applyAlignment="1">
      <alignment horizontal="center" wrapText="1"/>
    </xf>
    <xf numFmtId="0" fontId="16" fillId="0" borderId="5" xfId="2" applyFont="1" applyBorder="1" applyAlignment="1">
      <alignment horizontal="center" wrapText="1"/>
    </xf>
    <xf numFmtId="0" fontId="16" fillId="0" borderId="6" xfId="2" applyFont="1" applyBorder="1" applyAlignment="1">
      <alignment horizontal="center" wrapText="1"/>
    </xf>
    <xf numFmtId="0" fontId="16" fillId="0" borderId="8" xfId="2" applyFont="1" applyBorder="1" applyAlignment="1">
      <alignment horizontal="center" wrapText="1"/>
    </xf>
    <xf numFmtId="0" fontId="43" fillId="0" borderId="10" xfId="2" applyFont="1" applyBorder="1" applyAlignment="1">
      <alignment horizontal="center" vertical="center"/>
    </xf>
    <xf numFmtId="0" fontId="43" fillId="0" borderId="22" xfId="2" applyFont="1" applyBorder="1" applyAlignment="1">
      <alignment horizontal="center" vertical="center"/>
    </xf>
    <xf numFmtId="0" fontId="43" fillId="0" borderId="10" xfId="2" applyFont="1" applyBorder="1" applyAlignment="1">
      <alignment horizontal="center" vertical="center" wrapText="1"/>
    </xf>
    <xf numFmtId="0" fontId="43" fillId="0" borderId="22" xfId="2" applyFont="1" applyBorder="1" applyAlignment="1">
      <alignment horizontal="center" vertical="center" wrapText="1"/>
    </xf>
    <xf numFmtId="0" fontId="39" fillId="7" borderId="58" xfId="0" applyFont="1" applyFill="1" applyBorder="1" applyAlignment="1">
      <alignment horizontal="center" vertical="center" wrapText="1"/>
    </xf>
    <xf numFmtId="0" fontId="39" fillId="7" borderId="61" xfId="0" applyFont="1" applyFill="1" applyBorder="1" applyAlignment="1">
      <alignment horizontal="center" vertical="center" wrapText="1"/>
    </xf>
    <xf numFmtId="0" fontId="40" fillId="7" borderId="58" xfId="0" applyFont="1" applyFill="1" applyBorder="1" applyAlignment="1">
      <alignment horizontal="center" vertical="center"/>
    </xf>
    <xf numFmtId="0" fontId="40" fillId="7" borderId="61" xfId="0" applyFont="1" applyFill="1" applyBorder="1" applyAlignment="1">
      <alignment horizontal="center" vertical="center"/>
    </xf>
    <xf numFmtId="0" fontId="23" fillId="5" borderId="0" xfId="0" applyFont="1" applyFill="1" applyBorder="1" applyAlignment="1">
      <alignment horizontal="center"/>
    </xf>
    <xf numFmtId="0" fontId="24" fillId="5" borderId="14" xfId="0" applyFont="1" applyFill="1" applyBorder="1" applyAlignment="1">
      <alignment horizontal="center"/>
    </xf>
    <xf numFmtId="0" fontId="24" fillId="5" borderId="44" xfId="0" applyFont="1" applyFill="1" applyBorder="1" applyAlignment="1">
      <alignment horizontal="center"/>
    </xf>
    <xf numFmtId="0" fontId="24" fillId="5" borderId="40" xfId="0" applyFont="1" applyFill="1" applyBorder="1" applyAlignment="1">
      <alignment horizontal="center"/>
    </xf>
    <xf numFmtId="0" fontId="24" fillId="0" borderId="32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34" xfId="0" applyFont="1" applyBorder="1" applyAlignment="1">
      <alignment horizontal="center"/>
    </xf>
    <xf numFmtId="0" fontId="49" fillId="0" borderId="50" xfId="2" applyFont="1" applyBorder="1" applyAlignment="1" applyProtection="1">
      <alignment horizontal="center" vertical="center" readingOrder="2"/>
    </xf>
    <xf numFmtId="0" fontId="49" fillId="0" borderId="39" xfId="2" applyFont="1" applyBorder="1" applyAlignment="1" applyProtection="1">
      <alignment horizontal="center" vertical="center" readingOrder="2"/>
    </xf>
    <xf numFmtId="0" fontId="49" fillId="0" borderId="14" xfId="2" applyFont="1" applyBorder="1" applyAlignment="1" applyProtection="1">
      <alignment horizontal="center" vertical="center" readingOrder="2"/>
    </xf>
    <xf numFmtId="0" fontId="49" fillId="0" borderId="40" xfId="2" applyFont="1" applyBorder="1" applyAlignment="1" applyProtection="1">
      <alignment horizontal="center" vertical="center" readingOrder="2"/>
    </xf>
    <xf numFmtId="0" fontId="54" fillId="0" borderId="14" xfId="2" applyFont="1" applyBorder="1" applyAlignment="1" applyProtection="1">
      <alignment horizontal="center" vertical="center"/>
    </xf>
    <xf numFmtId="0" fontId="54" fillId="0" borderId="40" xfId="2" applyFont="1" applyBorder="1" applyAlignment="1" applyProtection="1">
      <alignment horizontal="center" vertical="center"/>
    </xf>
    <xf numFmtId="0" fontId="56" fillId="0" borderId="32" xfId="0" applyFont="1" applyBorder="1" applyAlignment="1">
      <alignment horizontal="center"/>
    </xf>
    <xf numFmtId="0" fontId="56" fillId="0" borderId="33" xfId="0" applyFont="1" applyBorder="1" applyAlignment="1">
      <alignment horizontal="center"/>
    </xf>
    <xf numFmtId="0" fontId="56" fillId="0" borderId="34" xfId="0" applyFont="1" applyBorder="1" applyAlignment="1">
      <alignment horizontal="center"/>
    </xf>
    <xf numFmtId="0" fontId="55" fillId="0" borderId="47" xfId="2" applyFont="1" applyBorder="1" applyAlignment="1">
      <alignment horizontal="center"/>
    </xf>
    <xf numFmtId="0" fontId="55" fillId="0" borderId="39" xfId="2" applyFont="1" applyBorder="1" applyAlignment="1">
      <alignment horizontal="center"/>
    </xf>
    <xf numFmtId="0" fontId="55" fillId="0" borderId="47" xfId="2" applyFont="1" applyFill="1" applyBorder="1" applyAlignment="1">
      <alignment horizontal="center"/>
    </xf>
    <xf numFmtId="0" fontId="55" fillId="0" borderId="46" xfId="2" applyFont="1" applyFill="1" applyBorder="1" applyAlignment="1">
      <alignment horizontal="center"/>
    </xf>
    <xf numFmtId="0" fontId="55" fillId="0" borderId="39" xfId="2" applyFont="1" applyFill="1" applyBorder="1" applyAlignment="1">
      <alignment horizontal="center"/>
    </xf>
  </cellXfs>
  <cellStyles count="6">
    <cellStyle name="Comma" xfId="5" builtinId="3"/>
    <cellStyle name="Comma 2" xfId="1"/>
    <cellStyle name="Normal" xfId="0" builtinId="0"/>
    <cellStyle name="Normal 2" xfId="2"/>
    <cellStyle name="Percent" xfId="4" builtinId="5"/>
    <cellStyle name="Percent 2" xfId="3"/>
  </cellStyles>
  <dxfs count="21">
    <dxf>
      <font>
        <color rgb="FF9C0006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5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5"/>
      </font>
    </dxf>
    <dxf>
      <font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rtl="1">
              <a:defRPr/>
            </a:pPr>
            <a:r>
              <a:rPr lang="fa-IR" sz="1600">
                <a:latin typeface="Tahoma" pitchFamily="34" charset="0"/>
                <a:cs typeface="Tahoma" pitchFamily="34" charset="0"/>
              </a:rPr>
              <a:t>مقدار </a:t>
            </a:r>
            <a:r>
              <a:rPr lang="en-US" sz="1600">
                <a:latin typeface="Tahoma" pitchFamily="34" charset="0"/>
                <a:cs typeface="Tahoma" pitchFamily="34" charset="0"/>
              </a:rPr>
              <a:t> N</a:t>
            </a:r>
            <a:r>
              <a:rPr lang="en-US" sz="1600" baseline="-25000">
                <a:latin typeface="Tahoma" pitchFamily="34" charset="0"/>
                <a:cs typeface="Tahoma" pitchFamily="34" charset="0"/>
              </a:rPr>
              <a:t>equiv(t)</a:t>
            </a:r>
            <a:r>
              <a:rPr lang="fa-IR" sz="1600" baseline="0">
                <a:latin typeface="Tahoma" pitchFamily="34" charset="0"/>
                <a:cs typeface="Tahoma" pitchFamily="34" charset="0"/>
              </a:rPr>
              <a:t>برحسب زاویه شیار </a:t>
            </a:r>
            <a:r>
              <a:rPr lang="en-US" sz="1600" baseline="0">
                <a:latin typeface="Tahoma" pitchFamily="34" charset="0"/>
                <a:cs typeface="Tahoma" pitchFamily="34" charset="0"/>
              </a:rPr>
              <a:t>V</a:t>
            </a:r>
            <a:endParaRPr lang="fa-IR" sz="1600" baseline="0">
              <a:latin typeface="Tahoma" pitchFamily="34" charset="0"/>
              <a:cs typeface="Tahoma" pitchFamily="34" charset="0"/>
            </a:endParaRPr>
          </a:p>
          <a:p>
            <a:pPr rtl="1">
              <a:defRPr/>
            </a:pPr>
            <a:r>
              <a:rPr lang="fa-IR" sz="1600">
                <a:latin typeface="Tahoma" pitchFamily="34" charset="0"/>
                <a:cs typeface="Tahoma" pitchFamily="34" charset="0"/>
              </a:rPr>
              <a:t>مقایسه</a:t>
            </a:r>
            <a:r>
              <a:rPr lang="fa-IR" sz="1600" baseline="0">
                <a:latin typeface="Tahoma" pitchFamily="34" charset="0"/>
                <a:cs typeface="Tahoma" pitchFamily="34" charset="0"/>
              </a:rPr>
              <a:t> بین </a:t>
            </a:r>
            <a:r>
              <a:rPr lang="en-US" sz="1600" baseline="0">
                <a:latin typeface="Tahoma" pitchFamily="34" charset="0"/>
                <a:cs typeface="Tahoma" pitchFamily="34" charset="0"/>
              </a:rPr>
              <a:t>EN81-1 </a:t>
            </a:r>
            <a:r>
              <a:rPr lang="fa-IR" sz="1600" baseline="0">
                <a:latin typeface="Tahoma" pitchFamily="34" charset="0"/>
                <a:cs typeface="Tahoma" pitchFamily="34" charset="0"/>
              </a:rPr>
              <a:t> و </a:t>
            </a:r>
            <a:r>
              <a:rPr lang="en-US" sz="1600" baseline="0">
                <a:latin typeface="Tahoma" pitchFamily="34" charset="0"/>
                <a:cs typeface="Tahoma" pitchFamily="34" charset="0"/>
              </a:rPr>
              <a:t>EN81-50</a:t>
            </a:r>
          </a:p>
          <a:p>
            <a:pPr rtl="1"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2803281421432363E-2"/>
          <c:y val="0.17938889952732812"/>
          <c:w val="0.73870813415679026"/>
          <c:h val="0.66981507426343634"/>
        </c:manualLayout>
      </c:layout>
      <c:scatterChart>
        <c:scatterStyle val="smoothMarker"/>
        <c:varyColors val="0"/>
        <c:ser>
          <c:idx val="0"/>
          <c:order val="0"/>
          <c:tx>
            <c:v>EN81-1</c:v>
          </c:tx>
          <c:xVal>
            <c:numRef>
              <c:f>'مساحت کابین &amp; Neq(t)'!$L$2:$T$2</c:f>
              <c:numCache>
                <c:formatCode>#\°</c:formatCode>
                <c:ptCount val="9"/>
                <c:pt idx="0">
                  <c:v>35</c:v>
                </c:pt>
                <c:pt idx="1">
                  <c:v>36</c:v>
                </c:pt>
                <c:pt idx="2">
                  <c:v>38</c:v>
                </c:pt>
                <c:pt idx="3">
                  <c:v>40</c:v>
                </c:pt>
                <c:pt idx="4">
                  <c:v>42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</c:numCache>
            </c:numRef>
          </c:xVal>
          <c:yVal>
            <c:numRef>
              <c:f>'مساحت کابین &amp; Neq(t)'!$L$3:$T$3</c:f>
              <c:numCache>
                <c:formatCode>0.0</c:formatCode>
                <c:ptCount val="9"/>
                <c:pt idx="0">
                  <c:v>18.5</c:v>
                </c:pt>
                <c:pt idx="1">
                  <c:v>15.2</c:v>
                </c:pt>
                <c:pt idx="2">
                  <c:v>10.5</c:v>
                </c:pt>
                <c:pt idx="3">
                  <c:v>7.1</c:v>
                </c:pt>
                <c:pt idx="4">
                  <c:v>5.6</c:v>
                </c:pt>
                <c:pt idx="5">
                  <c:v>4</c:v>
                </c:pt>
                <c:pt idx="6">
                  <c:v>3.1</c:v>
                </c:pt>
                <c:pt idx="7">
                  <c:v>2.7</c:v>
                </c:pt>
                <c:pt idx="8">
                  <c:v>2.5</c:v>
                </c:pt>
              </c:numCache>
            </c:numRef>
          </c:yVal>
          <c:smooth val="1"/>
        </c:ser>
        <c:ser>
          <c:idx val="1"/>
          <c:order val="1"/>
          <c:tx>
            <c:v>En81-50</c:v>
          </c:tx>
          <c:xVal>
            <c:numRef>
              <c:f>'مساحت کابین &amp; Neq(t)'!$Z$2:$AH$2</c:f>
              <c:numCache>
                <c:formatCode>#\°</c:formatCode>
                <c:ptCount val="9"/>
                <c:pt idx="0">
                  <c:v>35</c:v>
                </c:pt>
                <c:pt idx="1">
                  <c:v>36</c:v>
                </c:pt>
                <c:pt idx="2">
                  <c:v>38</c:v>
                </c:pt>
                <c:pt idx="3">
                  <c:v>40</c:v>
                </c:pt>
                <c:pt idx="4">
                  <c:v>42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</c:numCache>
            </c:numRef>
          </c:xVal>
          <c:yVal>
            <c:numRef>
              <c:f>'مساحت کابین &amp; Neq(t)'!$Z$3:$AH$3</c:f>
              <c:numCache>
                <c:formatCode>0.0</c:formatCode>
                <c:ptCount val="9"/>
                <c:pt idx="0">
                  <c:v>18.5</c:v>
                </c:pt>
                <c:pt idx="1">
                  <c:v>16</c:v>
                </c:pt>
                <c:pt idx="2">
                  <c:v>12</c:v>
                </c:pt>
                <c:pt idx="3">
                  <c:v>10</c:v>
                </c:pt>
                <c:pt idx="4">
                  <c:v>8</c:v>
                </c:pt>
                <c:pt idx="5">
                  <c:v>6.5</c:v>
                </c:pt>
                <c:pt idx="6">
                  <c:v>5</c:v>
                </c:pt>
                <c:pt idx="7">
                  <c:v>4.5</c:v>
                </c:pt>
                <c:pt idx="8">
                  <c:v>4.2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469440"/>
        <c:axId val="92470016"/>
      </c:scatterChart>
      <c:valAx>
        <c:axId val="92469440"/>
        <c:scaling>
          <c:orientation val="minMax"/>
          <c:max val="60"/>
          <c:min val="30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 b="1" i="0" u="none" strike="noStrike" baseline="0">
                    <a:effectLst/>
                  </a:rPr>
                  <a:t>V-angle (</a:t>
                </a:r>
                <a:r>
                  <a:rPr lang="el-GR" sz="1200" b="1" i="0" u="none" strike="noStrike" baseline="0">
                    <a:effectLst/>
                  </a:rPr>
                  <a:t>γ)</a:t>
                </a:r>
                <a:endParaRPr lang="en-US" sz="1200"/>
              </a:p>
            </c:rich>
          </c:tx>
          <c:overlay val="0"/>
        </c:title>
        <c:numFmt formatCode="#\°" sourceLinked="1"/>
        <c:majorTickMark val="none"/>
        <c:minorTickMark val="none"/>
        <c:tickLblPos val="nextTo"/>
        <c:crossAx val="92470016"/>
        <c:crosses val="autoZero"/>
        <c:crossBetween val="midCat"/>
      </c:valAx>
      <c:valAx>
        <c:axId val="92470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N</a:t>
                </a:r>
                <a:r>
                  <a:rPr lang="en-US" sz="1200" baseline="-25000"/>
                  <a:t>equiv(t)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crossAx val="924694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CheckBox" fmlaLink="$D$26" lockText="1" noThreeD="1"/>
</file>

<file path=xl/ctrlProps/ctrlProp2.xml><?xml version="1.0" encoding="utf-8"?>
<formControlPr xmlns="http://schemas.microsoft.com/office/spreadsheetml/2009/9/main" objectType="Radio" firstButton="1" fmlaLink="$D$25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emf"/><Relationship Id="rId7" Type="http://schemas.openxmlformats.org/officeDocument/2006/relationships/image" Target="../media/image13.png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2.png"/><Relationship Id="rId5" Type="http://schemas.openxmlformats.org/officeDocument/2006/relationships/image" Target="../media/image11.emf"/><Relationship Id="rId10" Type="http://schemas.openxmlformats.org/officeDocument/2006/relationships/image" Target="../media/image16.png"/><Relationship Id="rId4" Type="http://schemas.openxmlformats.org/officeDocument/2006/relationships/image" Target="../media/image10.emf"/><Relationship Id="rId9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1103312</xdr:colOff>
      <xdr:row>24</xdr:row>
      <xdr:rowOff>183862</xdr:rowOff>
    </xdr:from>
    <xdr:to>
      <xdr:col>5</xdr:col>
      <xdr:colOff>3388590</xdr:colOff>
      <xdr:row>31</xdr:row>
      <xdr:rowOff>148086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9540410" y="5978237"/>
          <a:ext cx="2285278" cy="2919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173209</xdr:colOff>
      <xdr:row>35</xdr:row>
      <xdr:rowOff>20796</xdr:rowOff>
    </xdr:from>
    <xdr:to>
      <xdr:col>5</xdr:col>
      <xdr:colOff>3438534</xdr:colOff>
      <xdr:row>51</xdr:row>
      <xdr:rowOff>54264</xdr:rowOff>
    </xdr:to>
    <xdr:pic>
      <xdr:nvPicPr>
        <xdr:cNvPr id="1050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8173306" y="9385776"/>
          <a:ext cx="3265325" cy="4026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154280</xdr:colOff>
      <xdr:row>24</xdr:row>
      <xdr:rowOff>56101</xdr:rowOff>
    </xdr:from>
    <xdr:to>
      <xdr:col>3</xdr:col>
      <xdr:colOff>1150476</xdr:colOff>
      <xdr:row>24</xdr:row>
      <xdr:rowOff>1209976</xdr:rowOff>
    </xdr:to>
    <xdr:pic>
      <xdr:nvPicPr>
        <xdr:cNvPr id="1053" name="Picture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84469336" y="5850476"/>
          <a:ext cx="996196" cy="115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232776</xdr:colOff>
      <xdr:row>24</xdr:row>
      <xdr:rowOff>60907</xdr:rowOff>
    </xdr:from>
    <xdr:to>
      <xdr:col>4</xdr:col>
      <xdr:colOff>1206557</xdr:colOff>
      <xdr:row>24</xdr:row>
      <xdr:rowOff>1148915</xdr:rowOff>
    </xdr:to>
    <xdr:pic>
      <xdr:nvPicPr>
        <xdr:cNvPr id="1054" name="Picture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83071818" y="5855282"/>
          <a:ext cx="973781" cy="1088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</xdr:colOff>
          <xdr:row>25</xdr:row>
          <xdr:rowOff>7620</xdr:rowOff>
        </xdr:from>
        <xdr:to>
          <xdr:col>3</xdr:col>
          <xdr:colOff>1257300</xdr:colOff>
          <xdr:row>25</xdr:row>
          <xdr:rowOff>213360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22860" rIns="27432" bIns="22860" anchor="ctr" upright="1"/>
            <a:lstStyle/>
            <a:p>
              <a:pPr algn="r" rtl="1">
                <a:defRPr sz="1000"/>
              </a:pPr>
              <a:r>
                <a:rPr lang="fa-IR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شده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24</xdr:row>
          <xdr:rowOff>1226820</xdr:rowOff>
        </xdr:from>
        <xdr:to>
          <xdr:col>3</xdr:col>
          <xdr:colOff>1143000</xdr:colOff>
          <xdr:row>24</xdr:row>
          <xdr:rowOff>1409700</xdr:rowOff>
        </xdr:to>
        <xdr:sp macro="" textlink="">
          <xdr:nvSpPr>
            <xdr:cNvPr id="1033" name="Option Butto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22860" rIns="27432" bIns="22860" anchor="ctr" upright="1"/>
            <a:lstStyle/>
            <a:p>
              <a:pPr algn="r" rtl="1">
                <a:defRPr sz="1000"/>
              </a:pPr>
              <a:r>
                <a:rPr lang="fa-IR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شیار </a:t>
              </a: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V </a:t>
              </a:r>
              <a:r>
                <a:rPr lang="fa-IR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شکل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190500</xdr:colOff>
          <xdr:row>24</xdr:row>
          <xdr:rowOff>1219200</xdr:rowOff>
        </xdr:from>
        <xdr:to>
          <xdr:col>4</xdr:col>
          <xdr:colOff>1226820</xdr:colOff>
          <xdr:row>24</xdr:row>
          <xdr:rowOff>1409700</xdr:rowOff>
        </xdr:to>
        <xdr:sp macro="" textlink="">
          <xdr:nvSpPr>
            <xdr:cNvPr id="1034" name="Option Button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22860" rIns="27432" bIns="22860" anchor="ctr" upright="1"/>
            <a:lstStyle/>
            <a:p>
              <a:pPr algn="r" rtl="1">
                <a:defRPr sz="1000"/>
              </a:pPr>
              <a:r>
                <a:rPr lang="fa-IR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شیار نیم دایره</a:t>
              </a:r>
            </a:p>
          </xdr:txBody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755192</xdr:colOff>
      <xdr:row>20</xdr:row>
      <xdr:rowOff>155876</xdr:rowOff>
    </xdr:from>
    <xdr:to>
      <xdr:col>3</xdr:col>
      <xdr:colOff>3757176</xdr:colOff>
      <xdr:row>34</xdr:row>
      <xdr:rowOff>137279</xdr:rowOff>
    </xdr:to>
    <xdr:pic>
      <xdr:nvPicPr>
        <xdr:cNvPr id="2055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7541556" y="4843537"/>
          <a:ext cx="3001984" cy="3192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657225</xdr:colOff>
      <xdr:row>0</xdr:row>
      <xdr:rowOff>0</xdr:rowOff>
    </xdr:from>
    <xdr:ext cx="65" cy="172227"/>
    <xdr:sp macro="" textlink="">
      <xdr:nvSpPr>
        <xdr:cNvPr id="3" name="TextBox 2"/>
        <xdr:cNvSpPr txBox="1"/>
      </xdr:nvSpPr>
      <xdr:spPr>
        <a:xfrm>
          <a:off x="214789551" y="690129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1" anchor="t">
          <a:spAutoFit/>
        </a:bodyPr>
        <a:lstStyle/>
        <a:p>
          <a:endParaRPr 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657225</xdr:colOff>
      <xdr:row>9</xdr:row>
      <xdr:rowOff>0</xdr:rowOff>
    </xdr:from>
    <xdr:ext cx="65" cy="172227"/>
    <xdr:sp macro="" textlink="">
      <xdr:nvSpPr>
        <xdr:cNvPr id="2" name="TextBox 1"/>
        <xdr:cNvSpPr txBox="1"/>
      </xdr:nvSpPr>
      <xdr:spPr>
        <a:xfrm>
          <a:off x="214988710" y="176645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1" anchor="t">
          <a:spAutoFit/>
        </a:bodyPr>
        <a:lstStyle/>
        <a:p>
          <a:endParaRPr lang="en-US"/>
        </a:p>
      </xdr:txBody>
    </xdr:sp>
    <xdr:clientData/>
  </xdr:oneCellAnchor>
  <xdr:twoCellAnchor editAs="oneCell">
    <xdr:from>
      <xdr:col>3</xdr:col>
      <xdr:colOff>1769341</xdr:colOff>
      <xdr:row>32</xdr:row>
      <xdr:rowOff>14433</xdr:rowOff>
    </xdr:from>
    <xdr:to>
      <xdr:col>3</xdr:col>
      <xdr:colOff>3853581</xdr:colOff>
      <xdr:row>35</xdr:row>
      <xdr:rowOff>95251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1315569" y="6783533"/>
          <a:ext cx="2084240" cy="811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790576</xdr:colOff>
      <xdr:row>6</xdr:row>
      <xdr:rowOff>142874</xdr:rowOff>
    </xdr:from>
    <xdr:to>
      <xdr:col>25</xdr:col>
      <xdr:colOff>152401</xdr:colOff>
      <xdr:row>26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197912</xdr:colOff>
      <xdr:row>14</xdr:row>
      <xdr:rowOff>65083</xdr:rowOff>
    </xdr:from>
    <xdr:to>
      <xdr:col>2</xdr:col>
      <xdr:colOff>373037</xdr:colOff>
      <xdr:row>18</xdr:row>
      <xdr:rowOff>201862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8555463" y="3343271"/>
          <a:ext cx="1080000" cy="1089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42418</xdr:colOff>
      <xdr:row>14</xdr:row>
      <xdr:rowOff>69851</xdr:rowOff>
    </xdr:from>
    <xdr:to>
      <xdr:col>4</xdr:col>
      <xdr:colOff>535043</xdr:colOff>
      <xdr:row>18</xdr:row>
      <xdr:rowOff>191702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7139332" y="3348039"/>
          <a:ext cx="1080000" cy="1074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61859</xdr:colOff>
      <xdr:row>14</xdr:row>
      <xdr:rowOff>68264</xdr:rowOff>
    </xdr:from>
    <xdr:to>
      <xdr:col>6</xdr:col>
      <xdr:colOff>514797</xdr:colOff>
      <xdr:row>18</xdr:row>
      <xdr:rowOff>212521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5953078" y="3346452"/>
          <a:ext cx="1080000" cy="1096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58350</xdr:colOff>
      <xdr:row>14</xdr:row>
      <xdr:rowOff>90489</xdr:rowOff>
    </xdr:from>
    <xdr:to>
      <xdr:col>10</xdr:col>
      <xdr:colOff>535100</xdr:colOff>
      <xdr:row>18</xdr:row>
      <xdr:rowOff>209732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4019837" y="3368677"/>
          <a:ext cx="1080000" cy="1071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66175</xdr:colOff>
      <xdr:row>14</xdr:row>
      <xdr:rowOff>79376</xdr:rowOff>
    </xdr:from>
    <xdr:to>
      <xdr:col>8</xdr:col>
      <xdr:colOff>519113</xdr:colOff>
      <xdr:row>18</xdr:row>
      <xdr:rowOff>173292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4742262" y="3357564"/>
          <a:ext cx="1080000" cy="1046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80164</xdr:colOff>
      <xdr:row>14</xdr:row>
      <xdr:rowOff>31750</xdr:rowOff>
    </xdr:from>
    <xdr:to>
      <xdr:col>12</xdr:col>
      <xdr:colOff>533101</xdr:colOff>
      <xdr:row>18</xdr:row>
      <xdr:rowOff>331362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772339086" y="3302000"/>
          <a:ext cx="1080000" cy="1252112"/>
        </a:xfrm>
        <a:prstGeom prst="rect">
          <a:avLst/>
        </a:prstGeom>
      </xdr:spPr>
    </xdr:pic>
    <xdr:clientData/>
  </xdr:twoCellAnchor>
  <xdr:twoCellAnchor editAs="oneCell">
    <xdr:from>
      <xdr:col>13</xdr:col>
      <xdr:colOff>72232</xdr:colOff>
      <xdr:row>14</xdr:row>
      <xdr:rowOff>39687</xdr:rowOff>
    </xdr:from>
    <xdr:to>
      <xdr:col>14</xdr:col>
      <xdr:colOff>525170</xdr:colOff>
      <xdr:row>18</xdr:row>
      <xdr:rowOff>338407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771116706" y="3309937"/>
          <a:ext cx="1080000" cy="1251220"/>
        </a:xfrm>
        <a:prstGeom prst="rect">
          <a:avLst/>
        </a:prstGeom>
      </xdr:spPr>
    </xdr:pic>
    <xdr:clientData/>
  </xdr:twoCellAnchor>
  <xdr:twoCellAnchor editAs="oneCell">
    <xdr:from>
      <xdr:col>15</xdr:col>
      <xdr:colOff>49969</xdr:colOff>
      <xdr:row>14</xdr:row>
      <xdr:rowOff>37681</xdr:rowOff>
    </xdr:from>
    <xdr:to>
      <xdr:col>16</xdr:col>
      <xdr:colOff>547686</xdr:colOff>
      <xdr:row>18</xdr:row>
      <xdr:rowOff>331779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770340126" y="3315869"/>
          <a:ext cx="1124780" cy="1246598"/>
        </a:xfrm>
        <a:prstGeom prst="rect">
          <a:avLst/>
        </a:prstGeom>
      </xdr:spPr>
    </xdr:pic>
    <xdr:clientData/>
  </xdr:twoCellAnchor>
  <xdr:twoCellAnchor editAs="oneCell">
    <xdr:from>
      <xdr:col>17</xdr:col>
      <xdr:colOff>70648</xdr:colOff>
      <xdr:row>14</xdr:row>
      <xdr:rowOff>47626</xdr:rowOff>
    </xdr:from>
    <xdr:to>
      <xdr:col>18</xdr:col>
      <xdr:colOff>523585</xdr:colOff>
      <xdr:row>18</xdr:row>
      <xdr:rowOff>355861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769157727" y="3325814"/>
          <a:ext cx="1080000" cy="1260735"/>
        </a:xfrm>
        <a:prstGeom prst="rect">
          <a:avLst/>
        </a:prstGeom>
      </xdr:spPr>
    </xdr:pic>
    <xdr:clientData/>
  </xdr:twoCellAnchor>
  <xdr:twoCellAnchor editAs="oneCell">
    <xdr:from>
      <xdr:col>19</xdr:col>
      <xdr:colOff>47090</xdr:colOff>
      <xdr:row>14</xdr:row>
      <xdr:rowOff>65083</xdr:rowOff>
    </xdr:from>
    <xdr:to>
      <xdr:col>20</xdr:col>
      <xdr:colOff>500027</xdr:colOff>
      <xdr:row>18</xdr:row>
      <xdr:rowOff>201862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7069910" y="3343271"/>
          <a:ext cx="1080000" cy="1089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92712</xdr:colOff>
      <xdr:row>14</xdr:row>
      <xdr:rowOff>79376</xdr:rowOff>
    </xdr:from>
    <xdr:to>
      <xdr:col>22</xdr:col>
      <xdr:colOff>545649</xdr:colOff>
      <xdr:row>18</xdr:row>
      <xdr:rowOff>243921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765817788" y="3357564"/>
          <a:ext cx="1080000" cy="11170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n-81%20calculation%20V1.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ورودی ها"/>
      <sheetName val="محاسبات  ریل"/>
      <sheetName val="محاسبات  سیم بکسل"/>
      <sheetName val="محاسبات دیگر "/>
      <sheetName val="ریل راهنما"/>
      <sheetName val="Omega"/>
      <sheetName val="مساحت کابین &amp; Neq(t)"/>
      <sheetName val="فلکه هرزگرد"/>
      <sheetName val="جدول مشخصات سیم بکسل"/>
      <sheetName val="Sheet3"/>
    </sheetNames>
    <sheetDataSet>
      <sheetData sheetId="0">
        <row r="6">
          <cell r="D6" t="str">
            <v>مسافری</v>
          </cell>
        </row>
        <row r="7">
          <cell r="D7">
            <v>13</v>
          </cell>
        </row>
        <row r="8">
          <cell r="D8">
            <v>1000</v>
          </cell>
        </row>
        <row r="9">
          <cell r="D9">
            <v>25</v>
          </cell>
        </row>
        <row r="10">
          <cell r="D10">
            <v>100</v>
          </cell>
        </row>
        <row r="11">
          <cell r="D11">
            <v>2.5</v>
          </cell>
        </row>
        <row r="12">
          <cell r="D12">
            <v>800</v>
          </cell>
        </row>
        <row r="13">
          <cell r="D13" t="str">
            <v>تلسکوپی 2 لنگه</v>
          </cell>
        </row>
        <row r="14">
          <cell r="D14">
            <v>60</v>
          </cell>
        </row>
        <row r="17">
          <cell r="D17" t="str">
            <v>لغزشی با روغن</v>
          </cell>
        </row>
        <row r="20">
          <cell r="D20">
            <v>18</v>
          </cell>
        </row>
        <row r="21">
          <cell r="D21">
            <v>400</v>
          </cell>
        </row>
        <row r="22">
          <cell r="D22">
            <v>400</v>
          </cell>
        </row>
        <row r="23">
          <cell r="D23">
            <v>30</v>
          </cell>
        </row>
        <row r="24">
          <cell r="D24">
            <v>2</v>
          </cell>
        </row>
        <row r="25">
          <cell r="D25" t="b">
            <v>0</v>
          </cell>
        </row>
        <row r="26">
          <cell r="D26">
            <v>95</v>
          </cell>
        </row>
        <row r="27">
          <cell r="D27">
            <v>1</v>
          </cell>
        </row>
        <row r="28">
          <cell r="D28">
            <v>692</v>
          </cell>
        </row>
        <row r="29">
          <cell r="D29">
            <v>600</v>
          </cell>
        </row>
        <row r="30">
          <cell r="D30">
            <v>180</v>
          </cell>
        </row>
        <row r="32">
          <cell r="D32">
            <v>7</v>
          </cell>
        </row>
        <row r="33">
          <cell r="D33" t="str">
            <v>تدریجی</v>
          </cell>
        </row>
        <row r="34">
          <cell r="D34">
            <v>1200</v>
          </cell>
        </row>
        <row r="35">
          <cell r="D35">
            <v>2100</v>
          </cell>
        </row>
        <row r="36">
          <cell r="D36">
            <v>1100</v>
          </cell>
        </row>
        <row r="37">
          <cell r="D37">
            <v>1600</v>
          </cell>
        </row>
        <row r="38">
          <cell r="D38">
            <v>3000</v>
          </cell>
        </row>
        <row r="39">
          <cell r="D39">
            <v>2</v>
          </cell>
        </row>
        <row r="40">
          <cell r="D40">
            <v>0.5</v>
          </cell>
        </row>
        <row r="41">
          <cell r="D41">
            <v>0</v>
          </cell>
        </row>
        <row r="42">
          <cell r="D42">
            <v>100</v>
          </cell>
        </row>
        <row r="43">
          <cell r="D43">
            <v>0</v>
          </cell>
        </row>
        <row r="44">
          <cell r="D44">
            <v>100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750</v>
          </cell>
        </row>
        <row r="49">
          <cell r="D49">
            <v>120</v>
          </cell>
        </row>
        <row r="51">
          <cell r="D51">
            <v>5</v>
          </cell>
          <cell r="E51" t="str">
            <v>گوستاو ولف</v>
          </cell>
          <cell r="F51" t="str">
            <v>8x19 وارینگتون با مغز فولادی</v>
          </cell>
        </row>
        <row r="52">
          <cell r="D52">
            <v>10</v>
          </cell>
        </row>
        <row r="53">
          <cell r="D53">
            <v>5</v>
          </cell>
        </row>
        <row r="54">
          <cell r="D54">
            <v>2</v>
          </cell>
        </row>
        <row r="55">
          <cell r="D55">
            <v>1</v>
          </cell>
        </row>
        <row r="56">
          <cell r="D56">
            <v>0.45</v>
          </cell>
        </row>
        <row r="57">
          <cell r="D57" t="str">
            <v>دارد</v>
          </cell>
        </row>
        <row r="58">
          <cell r="D58">
            <v>2</v>
          </cell>
        </row>
        <row r="59">
          <cell r="D59">
            <v>2.1</v>
          </cell>
        </row>
        <row r="60">
          <cell r="D60">
            <v>0</v>
          </cell>
        </row>
        <row r="61">
          <cell r="D61">
            <v>10</v>
          </cell>
        </row>
        <row r="62">
          <cell r="D62">
            <v>0</v>
          </cell>
        </row>
        <row r="63">
          <cell r="D63">
            <v>0</v>
          </cell>
        </row>
        <row r="64">
          <cell r="D64">
            <v>0.6</v>
          </cell>
        </row>
        <row r="66">
          <cell r="D66">
            <v>0</v>
          </cell>
        </row>
        <row r="69">
          <cell r="C69">
            <v>0</v>
          </cell>
          <cell r="D69">
            <v>240</v>
          </cell>
        </row>
        <row r="70">
          <cell r="C70">
            <v>0</v>
          </cell>
          <cell r="D70">
            <v>440</v>
          </cell>
        </row>
        <row r="71">
          <cell r="C71">
            <v>2</v>
          </cell>
          <cell r="D71">
            <v>400</v>
          </cell>
        </row>
        <row r="72">
          <cell r="C72">
            <v>1</v>
          </cell>
          <cell r="D72">
            <v>400</v>
          </cell>
        </row>
      </sheetData>
      <sheetData sheetId="1">
        <row r="21">
          <cell r="C21">
            <v>2</v>
          </cell>
        </row>
        <row r="28">
          <cell r="C28">
            <v>13.55</v>
          </cell>
        </row>
        <row r="40">
          <cell r="C40">
            <v>21582</v>
          </cell>
        </row>
      </sheetData>
      <sheetData sheetId="2">
        <row r="6">
          <cell r="C6">
            <v>0</v>
          </cell>
        </row>
        <row r="7">
          <cell r="C7">
            <v>0</v>
          </cell>
        </row>
        <row r="8">
          <cell r="C8">
            <v>7.6</v>
          </cell>
        </row>
        <row r="9">
          <cell r="C9">
            <v>3.8</v>
          </cell>
        </row>
        <row r="10">
          <cell r="C10">
            <v>0</v>
          </cell>
        </row>
        <row r="12">
          <cell r="C12">
            <v>2</v>
          </cell>
        </row>
        <row r="14">
          <cell r="C14">
            <v>0.436</v>
          </cell>
        </row>
        <row r="15">
          <cell r="C15">
            <v>69.5</v>
          </cell>
        </row>
        <row r="16">
          <cell r="C16">
            <v>2.1</v>
          </cell>
        </row>
        <row r="18">
          <cell r="C18">
            <v>1700</v>
          </cell>
        </row>
        <row r="19">
          <cell r="C19">
            <v>10</v>
          </cell>
        </row>
        <row r="38">
          <cell r="C38" t="str">
            <v>-</v>
          </cell>
        </row>
        <row r="40">
          <cell r="C40">
            <v>3.1415926535897931</v>
          </cell>
        </row>
        <row r="44">
          <cell r="C44">
            <v>5</v>
          </cell>
        </row>
        <row r="48">
          <cell r="C48">
            <v>0.19722281378856948</v>
          </cell>
        </row>
        <row r="49">
          <cell r="C49">
            <v>0.13148187585904633</v>
          </cell>
        </row>
        <row r="50">
          <cell r="C50">
            <v>0.39444562757713897</v>
          </cell>
        </row>
        <row r="54">
          <cell r="C54">
            <v>-50</v>
          </cell>
        </row>
        <row r="55">
          <cell r="C55">
            <v>1250</v>
          </cell>
        </row>
        <row r="56">
          <cell r="C56">
            <v>218</v>
          </cell>
        </row>
        <row r="57">
          <cell r="C57">
            <v>0</v>
          </cell>
        </row>
        <row r="58">
          <cell r="C58">
            <v>0</v>
          </cell>
        </row>
        <row r="59">
          <cell r="C59">
            <v>420</v>
          </cell>
        </row>
        <row r="60">
          <cell r="C60">
            <v>0</v>
          </cell>
        </row>
        <row r="68">
          <cell r="C68">
            <v>50</v>
          </cell>
        </row>
        <row r="70">
          <cell r="C70">
            <v>0</v>
          </cell>
        </row>
        <row r="71">
          <cell r="C71">
            <v>218</v>
          </cell>
        </row>
        <row r="72">
          <cell r="C72">
            <v>420</v>
          </cell>
        </row>
        <row r="73">
          <cell r="C73">
            <v>0</v>
          </cell>
        </row>
        <row r="74">
          <cell r="C74">
            <v>22.5</v>
          </cell>
        </row>
        <row r="82">
          <cell r="C82">
            <v>-50</v>
          </cell>
        </row>
        <row r="83">
          <cell r="C83">
            <v>1000</v>
          </cell>
        </row>
        <row r="84">
          <cell r="C84">
            <v>218</v>
          </cell>
        </row>
        <row r="85">
          <cell r="C85">
            <v>0</v>
          </cell>
        </row>
        <row r="86">
          <cell r="C86">
            <v>0</v>
          </cell>
        </row>
        <row r="87">
          <cell r="C87">
            <v>420</v>
          </cell>
        </row>
        <row r="88">
          <cell r="C88">
            <v>0</v>
          </cell>
        </row>
        <row r="96">
          <cell r="C96">
            <v>50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218</v>
          </cell>
        </row>
        <row r="100">
          <cell r="C100">
            <v>420</v>
          </cell>
        </row>
        <row r="102">
          <cell r="C102">
            <v>22.5</v>
          </cell>
        </row>
        <row r="114">
          <cell r="C114">
            <v>2</v>
          </cell>
        </row>
        <row r="115">
          <cell r="C115">
            <v>400</v>
          </cell>
        </row>
        <row r="116">
          <cell r="C116">
            <v>1</v>
          </cell>
        </row>
        <row r="117">
          <cell r="C117">
            <v>6.7</v>
          </cell>
        </row>
        <row r="118">
          <cell r="C118">
            <v>2</v>
          </cell>
        </row>
        <row r="119">
          <cell r="C119">
            <v>8.6999999999999993</v>
          </cell>
        </row>
        <row r="120">
          <cell r="C120">
            <v>17.789062588667836</v>
          </cell>
        </row>
        <row r="122">
          <cell r="C122">
            <v>26.825473469606738</v>
          </cell>
        </row>
      </sheetData>
      <sheetData sheetId="3">
        <row r="9">
          <cell r="C9">
            <v>9.81</v>
          </cell>
        </row>
        <row r="20">
          <cell r="C20">
            <v>0.9</v>
          </cell>
        </row>
        <row r="21">
          <cell r="C21">
            <v>0.87</v>
          </cell>
        </row>
        <row r="25">
          <cell r="C25">
            <v>258</v>
          </cell>
        </row>
        <row r="35">
          <cell r="C35">
            <v>2.3759999999999999</v>
          </cell>
        </row>
        <row r="36">
          <cell r="C36">
            <v>2.15</v>
          </cell>
        </row>
        <row r="37">
          <cell r="C37">
            <v>2.4</v>
          </cell>
        </row>
      </sheetData>
      <sheetData sheetId="4">
        <row r="4">
          <cell r="B4" t="str">
            <v xml:space="preserve">T45/A </v>
          </cell>
          <cell r="C4" t="str">
            <v>45-45-5</v>
          </cell>
          <cell r="D4">
            <v>4.25</v>
          </cell>
          <cell r="E4">
            <v>3.34</v>
          </cell>
          <cell r="F4">
            <v>5</v>
          </cell>
          <cell r="G4">
            <v>8.08</v>
          </cell>
          <cell r="H4">
            <v>2.5299999999999998</v>
          </cell>
          <cell r="I4">
            <v>1.38</v>
          </cell>
          <cell r="J4">
            <v>3.84</v>
          </cell>
          <cell r="K4">
            <v>1.71</v>
          </cell>
          <cell r="L4">
            <v>0.95</v>
          </cell>
          <cell r="M4">
            <v>0.95</v>
          </cell>
        </row>
        <row r="5">
          <cell r="B5" t="str">
            <v>T50/A</v>
          </cell>
          <cell r="C5" t="str">
            <v>50-50-5</v>
          </cell>
          <cell r="D5">
            <v>4.75</v>
          </cell>
          <cell r="E5">
            <v>3.73</v>
          </cell>
          <cell r="F5">
            <v>5</v>
          </cell>
          <cell r="G5">
            <v>11.24</v>
          </cell>
          <cell r="H5">
            <v>3.15</v>
          </cell>
          <cell r="I5">
            <v>1.54</v>
          </cell>
          <cell r="J5">
            <v>5.25</v>
          </cell>
          <cell r="K5">
            <v>2.1</v>
          </cell>
          <cell r="L5">
            <v>1.05</v>
          </cell>
          <cell r="M5">
            <v>1.05</v>
          </cell>
        </row>
        <row r="6">
          <cell r="B6" t="str">
            <v>T70-1/A</v>
          </cell>
          <cell r="C6" t="str">
            <v>70-65-9</v>
          </cell>
          <cell r="D6">
            <v>9.51</v>
          </cell>
          <cell r="E6">
            <v>7.47</v>
          </cell>
          <cell r="F6">
            <v>6</v>
          </cell>
          <cell r="G6">
            <v>41.3</v>
          </cell>
          <cell r="H6">
            <v>9.24</v>
          </cell>
          <cell r="I6">
            <v>2.09</v>
          </cell>
          <cell r="J6">
            <v>18.649999999999999</v>
          </cell>
          <cell r="K6">
            <v>5.35</v>
          </cell>
          <cell r="L6">
            <v>1.4</v>
          </cell>
          <cell r="M6">
            <v>1.4</v>
          </cell>
        </row>
        <row r="7">
          <cell r="B7" t="str">
            <v>T70-70-9/A</v>
          </cell>
          <cell r="C7" t="str">
            <v>70-70-9</v>
          </cell>
          <cell r="D7">
            <v>11.25</v>
          </cell>
          <cell r="E7">
            <v>8.83</v>
          </cell>
          <cell r="F7">
            <v>7.9</v>
          </cell>
          <cell r="G7">
            <v>52.81</v>
          </cell>
          <cell r="H7">
            <v>10.79</v>
          </cell>
          <cell r="I7">
            <v>2.16</v>
          </cell>
          <cell r="J7">
            <v>24.62</v>
          </cell>
          <cell r="K7">
            <v>7.02</v>
          </cell>
          <cell r="L7">
            <v>1.48</v>
          </cell>
          <cell r="M7">
            <v>1.48</v>
          </cell>
        </row>
        <row r="8">
          <cell r="B8" t="str">
            <v>T82/A-B</v>
          </cell>
          <cell r="C8" t="str">
            <v>82-68-9</v>
          </cell>
          <cell r="D8">
            <v>10.9</v>
          </cell>
          <cell r="E8">
            <v>8.5500000000000007</v>
          </cell>
          <cell r="F8">
            <v>7.5</v>
          </cell>
          <cell r="G8">
            <v>49.4</v>
          </cell>
          <cell r="H8">
            <v>10.199999999999999</v>
          </cell>
          <cell r="I8">
            <v>2.13</v>
          </cell>
          <cell r="J8">
            <v>30.5</v>
          </cell>
          <cell r="K8">
            <v>7.4</v>
          </cell>
          <cell r="L8">
            <v>1.67</v>
          </cell>
          <cell r="M8">
            <v>1.67</v>
          </cell>
        </row>
        <row r="9">
          <cell r="B9" t="str">
            <v>T89/A-B</v>
          </cell>
          <cell r="C9" t="str">
            <v>89-62-16</v>
          </cell>
          <cell r="D9">
            <v>15.7</v>
          </cell>
          <cell r="E9">
            <v>12.3</v>
          </cell>
          <cell r="F9">
            <v>10</v>
          </cell>
          <cell r="G9">
            <v>59.52</v>
          </cell>
          <cell r="H9">
            <v>14.25</v>
          </cell>
          <cell r="I9">
            <v>1.95</v>
          </cell>
          <cell r="J9">
            <v>52.4</v>
          </cell>
          <cell r="K9">
            <v>11.8</v>
          </cell>
          <cell r="L9">
            <v>1.83</v>
          </cell>
          <cell r="M9">
            <v>1.83</v>
          </cell>
        </row>
        <row r="10">
          <cell r="B10" t="str">
            <v>T90/A-B</v>
          </cell>
          <cell r="C10" t="str">
            <v>90-75-16</v>
          </cell>
          <cell r="D10">
            <v>17.25</v>
          </cell>
          <cell r="E10">
            <v>13.55</v>
          </cell>
          <cell r="F10">
            <v>10</v>
          </cell>
          <cell r="G10">
            <v>102</v>
          </cell>
          <cell r="H10">
            <v>20.87</v>
          </cell>
          <cell r="I10">
            <v>2.4300000000000002</v>
          </cell>
          <cell r="J10">
            <v>52.6</v>
          </cell>
          <cell r="K10">
            <v>11.8</v>
          </cell>
          <cell r="L10">
            <v>1.75</v>
          </cell>
          <cell r="M10">
            <v>1.75</v>
          </cell>
        </row>
        <row r="11">
          <cell r="B11" t="str">
            <v>T114/B</v>
          </cell>
          <cell r="C11" t="str">
            <v>114-89-16</v>
          </cell>
          <cell r="D11">
            <v>20.85</v>
          </cell>
          <cell r="E11">
            <v>16.37</v>
          </cell>
          <cell r="F11">
            <v>9.5</v>
          </cell>
          <cell r="G11">
            <v>179</v>
          </cell>
          <cell r="H11">
            <v>29.7</v>
          </cell>
          <cell r="I11">
            <v>2.93</v>
          </cell>
          <cell r="J11">
            <v>109</v>
          </cell>
          <cell r="K11">
            <v>19.100000000000001</v>
          </cell>
          <cell r="L11">
            <v>2.29</v>
          </cell>
          <cell r="M11">
            <v>2.29</v>
          </cell>
        </row>
        <row r="12">
          <cell r="B12" t="str">
            <v>T125/B</v>
          </cell>
          <cell r="C12" t="str">
            <v>125-82-16</v>
          </cell>
          <cell r="D12">
            <v>22.83</v>
          </cell>
          <cell r="E12">
            <v>17.899999999999999</v>
          </cell>
          <cell r="F12">
            <v>10</v>
          </cell>
          <cell r="G12">
            <v>151</v>
          </cell>
          <cell r="H12">
            <v>26.2</v>
          </cell>
          <cell r="I12">
            <v>2.57</v>
          </cell>
          <cell r="J12">
            <v>159</v>
          </cell>
          <cell r="K12">
            <v>25.4</v>
          </cell>
          <cell r="L12">
            <v>2.64</v>
          </cell>
          <cell r="M12">
            <v>2.57</v>
          </cell>
        </row>
        <row r="13">
          <cell r="B13" t="str">
            <v>T140-1/B</v>
          </cell>
          <cell r="C13" t="str">
            <v>140-108-19</v>
          </cell>
          <cell r="D13">
            <v>35.200000000000003</v>
          </cell>
          <cell r="E13">
            <v>27.6</v>
          </cell>
          <cell r="F13">
            <v>12.7</v>
          </cell>
          <cell r="G13">
            <v>404</v>
          </cell>
          <cell r="H13">
            <v>53.4</v>
          </cell>
          <cell r="I13">
            <v>3.39</v>
          </cell>
          <cell r="J13">
            <v>310</v>
          </cell>
          <cell r="K13">
            <v>44.3</v>
          </cell>
          <cell r="L13">
            <v>2.97</v>
          </cell>
          <cell r="M13">
            <v>2.97</v>
          </cell>
        </row>
        <row r="14">
          <cell r="B14" t="str">
            <v>T127-1/B</v>
          </cell>
          <cell r="C14" t="str">
            <v>127-89-16</v>
          </cell>
          <cell r="D14">
            <v>22.64</v>
          </cell>
          <cell r="E14">
            <v>17.77</v>
          </cell>
          <cell r="F14">
            <v>10</v>
          </cell>
          <cell r="G14">
            <v>186.2</v>
          </cell>
          <cell r="H14">
            <v>30.4</v>
          </cell>
          <cell r="I14">
            <v>2.87</v>
          </cell>
          <cell r="J14">
            <v>148</v>
          </cell>
          <cell r="K14">
            <v>23.4</v>
          </cell>
          <cell r="L14">
            <v>2.56</v>
          </cell>
          <cell r="M14">
            <v>2.56</v>
          </cell>
        </row>
        <row r="15">
          <cell r="B15" t="str">
            <v>T127-2/B</v>
          </cell>
          <cell r="C15" t="str">
            <v>127-89-16</v>
          </cell>
          <cell r="D15">
            <v>28.63</v>
          </cell>
          <cell r="E15">
            <v>22.48</v>
          </cell>
          <cell r="F15">
            <v>10</v>
          </cell>
          <cell r="G15">
            <v>198.4</v>
          </cell>
          <cell r="H15">
            <v>30.9</v>
          </cell>
          <cell r="I15">
            <v>2.63</v>
          </cell>
          <cell r="J15">
            <v>230</v>
          </cell>
          <cell r="K15">
            <v>36.200000000000003</v>
          </cell>
          <cell r="L15">
            <v>2.83</v>
          </cell>
          <cell r="M15">
            <v>2.63</v>
          </cell>
        </row>
        <row r="16">
          <cell r="B16" t="str">
            <v>T140-2/B</v>
          </cell>
          <cell r="C16" t="str">
            <v>140-102-28.5</v>
          </cell>
          <cell r="D16">
            <v>43.22</v>
          </cell>
          <cell r="E16">
            <v>33.92</v>
          </cell>
          <cell r="F16">
            <v>17.5</v>
          </cell>
          <cell r="G16">
            <v>457</v>
          </cell>
          <cell r="H16">
            <v>68</v>
          </cell>
          <cell r="I16">
            <v>3.25</v>
          </cell>
          <cell r="J16">
            <v>358</v>
          </cell>
          <cell r="K16">
            <v>51.2</v>
          </cell>
          <cell r="L16">
            <v>2.88</v>
          </cell>
          <cell r="M16">
            <v>2.88</v>
          </cell>
        </row>
      </sheetData>
      <sheetData sheetId="5" refreshError="1"/>
      <sheetData sheetId="6">
        <row r="4">
          <cell r="B4">
            <v>100</v>
          </cell>
          <cell r="C4">
            <v>0.37</v>
          </cell>
          <cell r="E4">
            <v>1</v>
          </cell>
          <cell r="F4">
            <v>0.28000000000000003</v>
          </cell>
        </row>
        <row r="5">
          <cell r="B5">
            <v>180</v>
          </cell>
          <cell r="C5">
            <v>0.57999999999999996</v>
          </cell>
          <cell r="E5">
            <v>2</v>
          </cell>
          <cell r="F5">
            <v>0.49</v>
          </cell>
        </row>
        <row r="6">
          <cell r="B6">
            <v>225</v>
          </cell>
          <cell r="C6">
            <v>0.7</v>
          </cell>
          <cell r="E6">
            <v>3</v>
          </cell>
          <cell r="F6">
            <v>0.6</v>
          </cell>
        </row>
        <row r="7">
          <cell r="B7">
            <v>300</v>
          </cell>
          <cell r="C7">
            <v>0.9</v>
          </cell>
          <cell r="E7">
            <v>4</v>
          </cell>
          <cell r="F7">
            <v>0.79</v>
          </cell>
        </row>
        <row r="8">
          <cell r="B8">
            <v>375</v>
          </cell>
          <cell r="C8">
            <v>1.1000000000000001</v>
          </cell>
          <cell r="E8">
            <v>5</v>
          </cell>
          <cell r="F8">
            <v>0.98</v>
          </cell>
        </row>
        <row r="9">
          <cell r="B9">
            <v>400</v>
          </cell>
          <cell r="C9">
            <v>1.17</v>
          </cell>
          <cell r="E9">
            <v>6</v>
          </cell>
          <cell r="F9">
            <v>1.17</v>
          </cell>
        </row>
        <row r="10">
          <cell r="B10">
            <v>450</v>
          </cell>
          <cell r="C10">
            <v>1.3</v>
          </cell>
          <cell r="E10">
            <v>7</v>
          </cell>
          <cell r="F10">
            <v>1.31</v>
          </cell>
        </row>
        <row r="11">
          <cell r="B11">
            <v>525</v>
          </cell>
          <cell r="C11">
            <v>1.45</v>
          </cell>
          <cell r="E11">
            <v>8</v>
          </cell>
          <cell r="F11">
            <v>1.45</v>
          </cell>
        </row>
        <row r="12">
          <cell r="B12">
            <v>600</v>
          </cell>
          <cell r="C12">
            <v>1.6</v>
          </cell>
          <cell r="E12">
            <v>9</v>
          </cell>
          <cell r="F12">
            <v>1.59</v>
          </cell>
        </row>
        <row r="13">
          <cell r="B13">
            <v>630</v>
          </cell>
          <cell r="C13">
            <v>1.66</v>
          </cell>
          <cell r="E13">
            <v>10</v>
          </cell>
          <cell r="F13">
            <v>1.73</v>
          </cell>
        </row>
        <row r="14">
          <cell r="B14">
            <v>675</v>
          </cell>
          <cell r="C14">
            <v>1.75</v>
          </cell>
          <cell r="E14">
            <v>11</v>
          </cell>
          <cell r="F14">
            <v>1.87</v>
          </cell>
        </row>
        <row r="15">
          <cell r="B15">
            <v>750</v>
          </cell>
          <cell r="C15">
            <v>1.9</v>
          </cell>
          <cell r="E15">
            <v>12</v>
          </cell>
          <cell r="F15">
            <v>2.0099999999999998</v>
          </cell>
        </row>
        <row r="16">
          <cell r="B16">
            <v>800</v>
          </cell>
          <cell r="C16">
            <v>2</v>
          </cell>
          <cell r="E16">
            <v>13</v>
          </cell>
          <cell r="F16">
            <v>2.15</v>
          </cell>
        </row>
        <row r="17">
          <cell r="B17">
            <v>825</v>
          </cell>
          <cell r="C17">
            <v>2.0499999999999998</v>
          </cell>
          <cell r="E17">
            <v>14</v>
          </cell>
          <cell r="F17">
            <v>2.29</v>
          </cell>
        </row>
        <row r="18">
          <cell r="B18">
            <v>900</v>
          </cell>
          <cell r="C18">
            <v>2.2000000000000002</v>
          </cell>
          <cell r="E18">
            <v>15</v>
          </cell>
          <cell r="F18">
            <v>2.4300000000000002</v>
          </cell>
        </row>
        <row r="19">
          <cell r="B19">
            <v>975</v>
          </cell>
          <cell r="C19">
            <v>2.35</v>
          </cell>
          <cell r="E19">
            <v>16</v>
          </cell>
          <cell r="F19">
            <v>2.57</v>
          </cell>
        </row>
        <row r="20">
          <cell r="B20">
            <v>1000</v>
          </cell>
          <cell r="C20">
            <v>2.4</v>
          </cell>
          <cell r="E20">
            <v>17</v>
          </cell>
          <cell r="F20">
            <v>2.71</v>
          </cell>
        </row>
        <row r="21">
          <cell r="B21">
            <v>1050</v>
          </cell>
          <cell r="C21">
            <v>2.5</v>
          </cell>
          <cell r="E21">
            <v>18</v>
          </cell>
          <cell r="F21">
            <v>2.85</v>
          </cell>
        </row>
        <row r="22">
          <cell r="B22">
            <v>1125</v>
          </cell>
          <cell r="C22">
            <v>2.65</v>
          </cell>
          <cell r="E22">
            <v>19</v>
          </cell>
          <cell r="F22">
            <v>2.99</v>
          </cell>
        </row>
        <row r="23">
          <cell r="B23">
            <v>1200</v>
          </cell>
          <cell r="C23">
            <v>2.8</v>
          </cell>
          <cell r="E23">
            <v>20</v>
          </cell>
          <cell r="F23">
            <v>3.13</v>
          </cell>
        </row>
        <row r="24">
          <cell r="B24">
            <v>1250</v>
          </cell>
          <cell r="C24">
            <v>2.9</v>
          </cell>
        </row>
        <row r="25">
          <cell r="B25">
            <v>1275</v>
          </cell>
          <cell r="C25">
            <v>2.95</v>
          </cell>
        </row>
        <row r="26">
          <cell r="B26">
            <v>1350</v>
          </cell>
          <cell r="C26">
            <v>3.1</v>
          </cell>
        </row>
        <row r="27">
          <cell r="B27">
            <v>1425</v>
          </cell>
          <cell r="C27">
            <v>3.25</v>
          </cell>
        </row>
        <row r="28">
          <cell r="B28">
            <v>1500</v>
          </cell>
          <cell r="C28">
            <v>3.4</v>
          </cell>
        </row>
        <row r="29">
          <cell r="B29">
            <v>1600</v>
          </cell>
          <cell r="C29">
            <v>3.56</v>
          </cell>
        </row>
        <row r="30">
          <cell r="B30">
            <v>2000</v>
          </cell>
          <cell r="C30">
            <v>4.2</v>
          </cell>
        </row>
        <row r="31">
          <cell r="B31">
            <v>2500</v>
          </cell>
          <cell r="C31">
            <v>5</v>
          </cell>
        </row>
      </sheetData>
      <sheetData sheetId="7">
        <row r="3">
          <cell r="B3" t="str">
            <v>تعداد شیار</v>
          </cell>
          <cell r="C3">
            <v>0</v>
          </cell>
          <cell r="D3">
            <v>240</v>
          </cell>
          <cell r="E3">
            <v>320</v>
          </cell>
          <cell r="F3">
            <v>330</v>
          </cell>
          <cell r="G3">
            <v>400</v>
          </cell>
          <cell r="H3">
            <v>410</v>
          </cell>
          <cell r="I3">
            <v>440</v>
          </cell>
          <cell r="J3">
            <v>480</v>
          </cell>
          <cell r="K3">
            <v>540</v>
          </cell>
          <cell r="L3">
            <v>560</v>
          </cell>
          <cell r="M3">
            <v>580</v>
          </cell>
          <cell r="N3">
            <v>600</v>
          </cell>
        </row>
        <row r="4">
          <cell r="B4">
            <v>3</v>
          </cell>
          <cell r="C4">
            <v>0</v>
          </cell>
          <cell r="D4">
            <v>6.2</v>
          </cell>
          <cell r="E4">
            <v>9</v>
          </cell>
          <cell r="F4">
            <v>9.4513888888888893</v>
          </cell>
          <cell r="G4">
            <v>13</v>
          </cell>
          <cell r="H4">
            <v>15.049107142857142</v>
          </cell>
          <cell r="I4">
            <v>21.5</v>
          </cell>
          <cell r="J4">
            <v>28</v>
          </cell>
          <cell r="K4">
            <v>38.809782608695656</v>
          </cell>
          <cell r="L4">
            <v>42.695652173913047</v>
          </cell>
          <cell r="M4">
            <v>46.722826086956523</v>
          </cell>
          <cell r="N4">
            <v>50.891304347826086</v>
          </cell>
        </row>
        <row r="5">
          <cell r="B5">
            <v>4</v>
          </cell>
          <cell r="C5">
            <v>0</v>
          </cell>
          <cell r="D5">
            <v>7</v>
          </cell>
          <cell r="E5">
            <v>11</v>
          </cell>
          <cell r="F5">
            <v>11.564236111111111</v>
          </cell>
          <cell r="G5">
            <v>16</v>
          </cell>
          <cell r="H5">
            <v>18.169642857142858</v>
          </cell>
          <cell r="I5">
            <v>25</v>
          </cell>
          <cell r="J5">
            <v>32</v>
          </cell>
          <cell r="K5">
            <v>43.641304347826086</v>
          </cell>
          <cell r="L5">
            <v>47.826086956521735</v>
          </cell>
          <cell r="M5">
            <v>52.16304347826086</v>
          </cell>
          <cell r="N5">
            <v>56.652173913043463</v>
          </cell>
        </row>
        <row r="6">
          <cell r="B6">
            <v>5</v>
          </cell>
          <cell r="C6">
            <v>0</v>
          </cell>
          <cell r="D6">
            <v>7.8</v>
          </cell>
          <cell r="E6">
            <v>12.5</v>
          </cell>
          <cell r="F6">
            <v>13.233506944444445</v>
          </cell>
          <cell r="G6">
            <v>19</v>
          </cell>
          <cell r="H6">
            <v>21.290178571428573</v>
          </cell>
          <cell r="I6">
            <v>28.5</v>
          </cell>
          <cell r="J6">
            <v>36</v>
          </cell>
          <cell r="K6">
            <v>48.472826086956523</v>
          </cell>
          <cell r="L6">
            <v>52.956521739130437</v>
          </cell>
          <cell r="M6">
            <v>57.603260869565219</v>
          </cell>
          <cell r="N6">
            <v>62.413043478260867</v>
          </cell>
        </row>
        <row r="7">
          <cell r="B7">
            <v>6</v>
          </cell>
          <cell r="C7">
            <v>0</v>
          </cell>
          <cell r="D7">
            <v>8.1999999999999993</v>
          </cell>
          <cell r="E7">
            <v>13</v>
          </cell>
          <cell r="F7">
            <v>13.789930555555555</v>
          </cell>
          <cell r="G7">
            <v>20</v>
          </cell>
          <cell r="H7">
            <v>22.290178571428573</v>
          </cell>
          <cell r="I7">
            <v>29.5</v>
          </cell>
          <cell r="J7">
            <v>37.5</v>
          </cell>
          <cell r="K7">
            <v>50.804347826086953</v>
          </cell>
          <cell r="L7">
            <v>55.586956521739125</v>
          </cell>
          <cell r="M7">
            <v>60.543478260869556</v>
          </cell>
          <cell r="N7">
            <v>65.673913043478251</v>
          </cell>
        </row>
        <row r="8">
          <cell r="B8">
            <v>7</v>
          </cell>
          <cell r="C8">
            <v>0</v>
          </cell>
          <cell r="D8">
            <v>9</v>
          </cell>
          <cell r="E8">
            <v>14.5</v>
          </cell>
          <cell r="F8">
            <v>15.346354166666666</v>
          </cell>
          <cell r="G8">
            <v>22</v>
          </cell>
          <cell r="H8">
            <v>24.651785714285715</v>
          </cell>
          <cell r="I8">
            <v>33</v>
          </cell>
          <cell r="J8">
            <v>42</v>
          </cell>
          <cell r="K8">
            <v>56.967391304347828</v>
          </cell>
          <cell r="L8">
            <v>62.347826086956523</v>
          </cell>
          <cell r="M8">
            <v>67.923913043478265</v>
          </cell>
          <cell r="N8">
            <v>73.695652173913047</v>
          </cell>
        </row>
        <row r="9">
          <cell r="B9">
            <v>8</v>
          </cell>
          <cell r="C9">
            <v>0</v>
          </cell>
          <cell r="D9">
            <v>10</v>
          </cell>
          <cell r="E9">
            <v>16</v>
          </cell>
          <cell r="F9">
            <v>16.902777777777779</v>
          </cell>
          <cell r="G9">
            <v>24</v>
          </cell>
          <cell r="H9">
            <v>26.892857142857142</v>
          </cell>
          <cell r="I9">
            <v>36</v>
          </cell>
          <cell r="J9">
            <v>46</v>
          </cell>
          <cell r="K9">
            <v>62.630434782608695</v>
          </cell>
          <cell r="L9">
            <v>68.608695652173907</v>
          </cell>
          <cell r="M9">
            <v>74.804347826086939</v>
          </cell>
          <cell r="N9">
            <v>81.2173913043478</v>
          </cell>
        </row>
        <row r="10">
          <cell r="B10">
            <v>9</v>
          </cell>
          <cell r="C10">
            <v>0</v>
          </cell>
          <cell r="D10">
            <v>11</v>
          </cell>
          <cell r="E10">
            <v>17.5</v>
          </cell>
          <cell r="F10">
            <v>18.459201388888889</v>
          </cell>
          <cell r="G10">
            <v>26</v>
          </cell>
          <cell r="H10">
            <v>29.133928571428573</v>
          </cell>
          <cell r="I10">
            <v>39</v>
          </cell>
          <cell r="J10">
            <v>50</v>
          </cell>
          <cell r="K10">
            <v>68.293478260869563</v>
          </cell>
          <cell r="L10">
            <v>74.869565217391298</v>
          </cell>
          <cell r="M10">
            <v>81.684782608695642</v>
          </cell>
          <cell r="N10">
            <v>88.739130434782595</v>
          </cell>
        </row>
        <row r="11">
          <cell r="B11">
            <v>10</v>
          </cell>
          <cell r="C11">
            <v>0</v>
          </cell>
          <cell r="D11">
            <v>12</v>
          </cell>
          <cell r="E11">
            <v>19</v>
          </cell>
          <cell r="F11">
            <v>20.015625</v>
          </cell>
          <cell r="G11">
            <v>28</v>
          </cell>
          <cell r="H11">
            <v>31.375</v>
          </cell>
          <cell r="I11">
            <v>42</v>
          </cell>
          <cell r="J11">
            <v>54</v>
          </cell>
          <cell r="K11">
            <v>73.956521739130437</v>
          </cell>
          <cell r="L11">
            <v>81.130434782608702</v>
          </cell>
          <cell r="M11">
            <v>88.565217391304358</v>
          </cell>
          <cell r="N11">
            <v>96.260869565217405</v>
          </cell>
        </row>
        <row r="12">
          <cell r="B12">
            <v>11</v>
          </cell>
          <cell r="C12">
            <v>0</v>
          </cell>
          <cell r="D12">
            <v>13</v>
          </cell>
          <cell r="E12">
            <v>20.5</v>
          </cell>
          <cell r="F12">
            <v>21.572048611111111</v>
          </cell>
          <cell r="G12">
            <v>30</v>
          </cell>
          <cell r="H12">
            <v>33.616071428571431</v>
          </cell>
          <cell r="I12">
            <v>45</v>
          </cell>
          <cell r="J12">
            <v>58</v>
          </cell>
          <cell r="K12">
            <v>79.619565217391312</v>
          </cell>
          <cell r="L12">
            <v>87.391304347826093</v>
          </cell>
          <cell r="M12">
            <v>95.445652173913047</v>
          </cell>
          <cell r="N12">
            <v>103.78260869565217</v>
          </cell>
        </row>
        <row r="13">
          <cell r="B13">
            <v>12</v>
          </cell>
          <cell r="C13">
            <v>0</v>
          </cell>
          <cell r="D13">
            <v>14</v>
          </cell>
          <cell r="E13">
            <v>22</v>
          </cell>
          <cell r="F13">
            <v>23.128472222222221</v>
          </cell>
          <cell r="G13">
            <v>32</v>
          </cell>
          <cell r="H13">
            <v>35.857142857142854</v>
          </cell>
          <cell r="I13">
            <v>48</v>
          </cell>
          <cell r="J13">
            <v>62</v>
          </cell>
          <cell r="K13">
            <v>85.282608695652172</v>
          </cell>
          <cell r="L13">
            <v>93.65217391304347</v>
          </cell>
          <cell r="M13">
            <v>102.32608695652172</v>
          </cell>
          <cell r="N13">
            <v>111.30434782608693</v>
          </cell>
        </row>
        <row r="16">
          <cell r="B16" t="str">
            <v>لغزشی بی روغن</v>
          </cell>
          <cell r="C16">
            <v>0.85</v>
          </cell>
          <cell r="D16" t="str">
            <v>Sliding</v>
          </cell>
        </row>
        <row r="17">
          <cell r="B17" t="str">
            <v>لغزشی با روغن</v>
          </cell>
          <cell r="C17">
            <v>0.9</v>
          </cell>
          <cell r="D17" t="str">
            <v>Sliding with oil</v>
          </cell>
        </row>
        <row r="18">
          <cell r="B18" t="str">
            <v>غلطکی</v>
          </cell>
          <cell r="C18">
            <v>0.95</v>
          </cell>
          <cell r="D18" t="str">
            <v>Roller</v>
          </cell>
        </row>
      </sheetData>
      <sheetData sheetId="8">
        <row r="7">
          <cell r="A7">
            <v>6</v>
          </cell>
          <cell r="J7">
            <v>0.153</v>
          </cell>
          <cell r="K7">
            <v>25.9</v>
          </cell>
          <cell r="R7">
            <v>0.16400000000000001</v>
          </cell>
          <cell r="S7">
            <v>26.8</v>
          </cell>
          <cell r="V7">
            <v>0.153</v>
          </cell>
          <cell r="W7">
            <v>25.9</v>
          </cell>
        </row>
        <row r="8">
          <cell r="A8">
            <v>6.5</v>
          </cell>
          <cell r="J8">
            <v>0.17</v>
          </cell>
          <cell r="K8">
            <v>31.5</v>
          </cell>
          <cell r="R8">
            <v>0.17899999999999999</v>
          </cell>
          <cell r="S8">
            <v>31.5</v>
          </cell>
          <cell r="V8">
            <v>0.17</v>
          </cell>
          <cell r="W8">
            <v>31.5</v>
          </cell>
        </row>
        <row r="9">
          <cell r="A9">
            <v>8</v>
          </cell>
          <cell r="B9">
            <v>0.215</v>
          </cell>
          <cell r="C9">
            <v>30.5</v>
          </cell>
          <cell r="D9">
            <v>0.23</v>
          </cell>
          <cell r="E9">
            <v>32</v>
          </cell>
          <cell r="F9">
            <v>0.24299999999999999</v>
          </cell>
          <cell r="G9">
            <v>38</v>
          </cell>
          <cell r="H9">
            <v>0.25800000000000001</v>
          </cell>
          <cell r="I9">
            <v>40.6</v>
          </cell>
          <cell r="J9">
            <v>0.28000000000000003</v>
          </cell>
          <cell r="K9">
            <v>44.6</v>
          </cell>
          <cell r="L9">
            <v>0.215</v>
          </cell>
          <cell r="M9">
            <v>30.4</v>
          </cell>
          <cell r="N9">
            <v>0.222</v>
          </cell>
          <cell r="O9">
            <v>31.6</v>
          </cell>
          <cell r="P9">
            <v>0.25</v>
          </cell>
          <cell r="Q9">
            <v>40</v>
          </cell>
          <cell r="R9">
            <v>0.27300000000000002</v>
          </cell>
          <cell r="S9">
            <v>43.3</v>
          </cell>
          <cell r="T9">
            <v>0.217</v>
          </cell>
          <cell r="U9">
            <v>30.5</v>
          </cell>
          <cell r="V9">
            <v>0.26200000000000001</v>
          </cell>
          <cell r="W9">
            <v>40.4</v>
          </cell>
        </row>
        <row r="10">
          <cell r="A10">
            <v>10</v>
          </cell>
          <cell r="B10">
            <v>0.34</v>
          </cell>
          <cell r="C10">
            <v>48.2</v>
          </cell>
          <cell r="D10">
            <v>0.35</v>
          </cell>
          <cell r="E10">
            <v>50</v>
          </cell>
          <cell r="F10">
            <v>0.38500000000000001</v>
          </cell>
          <cell r="G10">
            <v>60.5</v>
          </cell>
          <cell r="H10">
            <v>0.40300000000000002</v>
          </cell>
          <cell r="I10">
            <v>63.4</v>
          </cell>
          <cell r="J10">
            <v>0.436</v>
          </cell>
          <cell r="K10">
            <v>69.5</v>
          </cell>
          <cell r="L10">
            <v>0.33700000000000002</v>
          </cell>
          <cell r="M10">
            <v>47.4</v>
          </cell>
          <cell r="N10">
            <v>0.34699999999999998</v>
          </cell>
          <cell r="O10">
            <v>49.4</v>
          </cell>
          <cell r="P10">
            <v>0.39</v>
          </cell>
          <cell r="Q10">
            <v>61.3</v>
          </cell>
          <cell r="R10">
            <v>0.42299999999999999</v>
          </cell>
          <cell r="S10">
            <v>67.7</v>
          </cell>
          <cell r="T10">
            <v>0.33600000000000002</v>
          </cell>
          <cell r="U10">
            <v>47.2</v>
          </cell>
          <cell r="V10">
            <v>0.41100000000000003</v>
          </cell>
          <cell r="W10">
            <v>63.4</v>
          </cell>
        </row>
        <row r="11">
          <cell r="A11">
            <v>11</v>
          </cell>
          <cell r="B11">
            <v>0.41099999999999998</v>
          </cell>
          <cell r="C11">
            <v>58.4</v>
          </cell>
          <cell r="D11">
            <v>0.42</v>
          </cell>
          <cell r="E11">
            <v>60.2</v>
          </cell>
          <cell r="F11">
            <v>0.46500000000000002</v>
          </cell>
          <cell r="G11">
            <v>73.400000000000006</v>
          </cell>
          <cell r="H11">
            <v>0.48499999999999999</v>
          </cell>
          <cell r="I11">
            <v>76.8</v>
          </cell>
          <cell r="J11">
            <v>0.52300000000000002</v>
          </cell>
          <cell r="K11">
            <v>83.1</v>
          </cell>
          <cell r="M11">
            <v>57.4</v>
          </cell>
          <cell r="N11">
            <v>0.42</v>
          </cell>
          <cell r="O11">
            <v>59.7</v>
          </cell>
          <cell r="P11">
            <v>0.47</v>
          </cell>
          <cell r="Q11">
            <v>76.099999999999994</v>
          </cell>
          <cell r="R11">
            <v>0.51200000000000001</v>
          </cell>
          <cell r="S11">
            <v>81.900000000000006</v>
          </cell>
          <cell r="T11">
            <v>0.41600000000000004</v>
          </cell>
          <cell r="U11">
            <v>58.6</v>
          </cell>
          <cell r="V11">
            <v>0.504</v>
          </cell>
          <cell r="W11">
            <v>77.400000000000006</v>
          </cell>
        </row>
        <row r="12">
          <cell r="A12">
            <v>12</v>
          </cell>
          <cell r="B12">
            <v>0.48799999999999999</v>
          </cell>
          <cell r="C12">
            <v>69.2</v>
          </cell>
          <cell r="D12">
            <v>0.5</v>
          </cell>
          <cell r="E12">
            <v>71.3</v>
          </cell>
          <cell r="F12">
            <v>0.54600000000000004</v>
          </cell>
          <cell r="G12">
            <v>86.8</v>
          </cell>
          <cell r="H12">
            <v>0.56899999999999995</v>
          </cell>
          <cell r="I12">
            <v>90.7</v>
          </cell>
          <cell r="J12">
            <v>0.61899999999999999</v>
          </cell>
          <cell r="K12">
            <v>98.9</v>
          </cell>
          <cell r="L12">
            <v>0.48499999999999999</v>
          </cell>
          <cell r="M12">
            <v>68.3</v>
          </cell>
          <cell r="N12">
            <v>0.5</v>
          </cell>
          <cell r="O12">
            <v>71.099999999999994</v>
          </cell>
          <cell r="P12">
            <v>0.57999999999999996</v>
          </cell>
          <cell r="Q12">
            <v>88.3</v>
          </cell>
          <cell r="R12">
            <v>0.61</v>
          </cell>
          <cell r="S12">
            <v>97.4</v>
          </cell>
          <cell r="T12">
            <v>0.50600000000000001</v>
          </cell>
          <cell r="U12">
            <v>71</v>
          </cell>
          <cell r="V12">
            <v>0.60899999999999999</v>
          </cell>
          <cell r="W12">
            <v>93.4</v>
          </cell>
        </row>
        <row r="13">
          <cell r="A13">
            <v>13</v>
          </cell>
          <cell r="B13">
            <v>0.57899999999999996</v>
          </cell>
          <cell r="C13">
            <v>80.7</v>
          </cell>
          <cell r="D13">
            <v>0.57999999999999996</v>
          </cell>
          <cell r="E13">
            <v>82.5</v>
          </cell>
          <cell r="F13">
            <v>0.65</v>
          </cell>
          <cell r="G13">
            <v>103.1</v>
          </cell>
          <cell r="H13">
            <v>0.67100000000000004</v>
          </cell>
          <cell r="I13">
            <v>105</v>
          </cell>
          <cell r="J13">
            <v>0.72699999999999998</v>
          </cell>
          <cell r="K13">
            <v>116</v>
          </cell>
          <cell r="L13">
            <v>0.56899999999999995</v>
          </cell>
          <cell r="M13">
            <v>80.2</v>
          </cell>
          <cell r="N13">
            <v>0.58599999999999997</v>
          </cell>
          <cell r="O13">
            <v>83.4</v>
          </cell>
          <cell r="P13">
            <v>0.66</v>
          </cell>
          <cell r="Q13">
            <v>106</v>
          </cell>
          <cell r="R13">
            <v>0.71499999999999997</v>
          </cell>
          <cell r="S13">
            <v>114</v>
          </cell>
          <cell r="T13">
            <v>0.58200000000000007</v>
          </cell>
          <cell r="U13">
            <v>81.900000000000006</v>
          </cell>
          <cell r="V13">
            <v>0.70599999999999996</v>
          </cell>
          <cell r="W13">
            <v>108.9</v>
          </cell>
        </row>
        <row r="14">
          <cell r="A14">
            <v>16</v>
          </cell>
          <cell r="B14">
            <v>0.871</v>
          </cell>
          <cell r="C14">
            <v>121</v>
          </cell>
          <cell r="D14">
            <v>0.89</v>
          </cell>
          <cell r="E14">
            <v>126.1</v>
          </cell>
          <cell r="F14">
            <v>0.98099999999999998</v>
          </cell>
          <cell r="G14">
            <v>154.80000000000001</v>
          </cell>
          <cell r="H14">
            <v>1.016</v>
          </cell>
          <cell r="I14">
            <v>160.4</v>
          </cell>
          <cell r="J14">
            <v>1.1000000000000001</v>
          </cell>
          <cell r="K14">
            <v>176.1</v>
          </cell>
          <cell r="L14">
            <v>0.86099999999999999</v>
          </cell>
          <cell r="M14">
            <v>121</v>
          </cell>
          <cell r="N14">
            <v>0.88800000000000001</v>
          </cell>
          <cell r="O14">
            <v>126</v>
          </cell>
          <cell r="P14">
            <v>1</v>
          </cell>
          <cell r="Q14">
            <v>156</v>
          </cell>
          <cell r="R14">
            <v>1.083</v>
          </cell>
          <cell r="S14">
            <v>173</v>
          </cell>
          <cell r="T14">
            <v>0.872</v>
          </cell>
          <cell r="U14">
            <v>122.5</v>
          </cell>
          <cell r="V14">
            <v>1.0649999999999999</v>
          </cell>
          <cell r="W14">
            <v>163.6</v>
          </cell>
        </row>
        <row r="22">
          <cell r="B22" t="str">
            <v>G-Wolf F819 S-FE</v>
          </cell>
          <cell r="C22" t="str">
            <v>گوستاو ولف</v>
          </cell>
          <cell r="D22" t="str">
            <v>8x19 سیل با مغز کنفی</v>
          </cell>
        </row>
        <row r="23">
          <cell r="B23" t="str">
            <v>G-Wolf F819 W-FE</v>
          </cell>
          <cell r="C23" t="str">
            <v>گوستاو ولف</v>
          </cell>
          <cell r="D23" t="str">
            <v>8x19 وارینگتون با مغز کنفی</v>
          </cell>
        </row>
        <row r="24">
          <cell r="B24" t="str">
            <v>G-Wolf PAWO F3</v>
          </cell>
          <cell r="C24" t="str">
            <v>گوستاو ولف</v>
          </cell>
          <cell r="D24" t="str">
            <v>8x19 سیل با مغز نیمه فولادی</v>
          </cell>
        </row>
        <row r="25">
          <cell r="B25" t="str">
            <v>G-Wolf PAWO F7</v>
          </cell>
          <cell r="C25" t="str">
            <v>گوستاو ولف</v>
          </cell>
          <cell r="D25" t="str">
            <v>8x19 وارینگتون با مغز نیمه فولادی</v>
          </cell>
        </row>
        <row r="26">
          <cell r="B26" t="str">
            <v>G-Wolf PAWO F7 S</v>
          </cell>
          <cell r="C26" t="str">
            <v>گوستاو ولف</v>
          </cell>
          <cell r="D26" t="str">
            <v>8x19 وارینگتون با مغز فولادی</v>
          </cell>
        </row>
        <row r="27">
          <cell r="B27" t="str">
            <v>DRAKO 8x19 S- FC</v>
          </cell>
          <cell r="C27" t="str">
            <v>فایفر دراکو</v>
          </cell>
          <cell r="D27" t="str">
            <v>8x19 سیل با مغز کنفی</v>
          </cell>
        </row>
        <row r="28">
          <cell r="B28" t="str">
            <v>DRAKO 8x19 W- FC</v>
          </cell>
          <cell r="C28" t="str">
            <v>فایفر دراکو</v>
          </cell>
          <cell r="D28" t="str">
            <v>8x19 وارینگتون با مغز کنفی</v>
          </cell>
        </row>
        <row r="29">
          <cell r="B29" t="str">
            <v>DRAKO 210 TF</v>
          </cell>
          <cell r="C29" t="str">
            <v>فایفر دراکو</v>
          </cell>
          <cell r="D29" t="str">
            <v>8x19 وارینگتون با مغز نیمه فولادی</v>
          </cell>
        </row>
        <row r="30">
          <cell r="B30" t="str">
            <v>DRAKO 250 T</v>
          </cell>
          <cell r="C30" t="str">
            <v>فایفر دراکو</v>
          </cell>
          <cell r="D30" t="str">
            <v>8x19 وارینگتون با مغز فولادی</v>
          </cell>
        </row>
        <row r="31">
          <cell r="B31" t="str">
            <v>BRUGG 8x19S-NFC</v>
          </cell>
          <cell r="C31" t="str">
            <v>بروگ</v>
          </cell>
          <cell r="D31" t="str">
            <v>8x19 سیل با مغز کنفی</v>
          </cell>
        </row>
        <row r="32">
          <cell r="B32" t="str">
            <v>BRUGG 8x19S-PWRC</v>
          </cell>
          <cell r="C32" t="str">
            <v>بروگ</v>
          </cell>
          <cell r="D32" t="str">
            <v>8x19 سیل با مغز فولادی</v>
          </cell>
        </row>
        <row r="33">
          <cell r="B33" t="str">
            <v>8x19 S-FC</v>
          </cell>
          <cell r="C33" t="str">
            <v>انواع دیگر</v>
          </cell>
          <cell r="D33" t="str">
            <v>8x19 سیل با مغز کنفی</v>
          </cell>
        </row>
        <row r="34">
          <cell r="B34" t="str">
            <v>8x19 W-FC</v>
          </cell>
          <cell r="C34" t="str">
            <v>انواع دیگر</v>
          </cell>
          <cell r="D34" t="str">
            <v>8x19 وارینگتون با مغز کنفی</v>
          </cell>
        </row>
        <row r="35">
          <cell r="B35" t="str">
            <v>8x19 S-IWRC</v>
          </cell>
          <cell r="C35" t="str">
            <v>انواع دیگر</v>
          </cell>
          <cell r="D35" t="str">
            <v>8x19 سیل با مغز نیمه فولادی</v>
          </cell>
        </row>
        <row r="36">
          <cell r="B36" t="str">
            <v>8x19 W-IWRC</v>
          </cell>
          <cell r="C36" t="str">
            <v>انواع دیگر</v>
          </cell>
          <cell r="D36" t="str">
            <v>8x19 وارینگتون با مغز نیمه فولادی</v>
          </cell>
        </row>
        <row r="37">
          <cell r="B37" t="str">
            <v>8x19 W-PWRC</v>
          </cell>
          <cell r="C37" t="str">
            <v>انواع دیگر</v>
          </cell>
          <cell r="D37" t="str">
            <v>8x19 وارینگتون با مغز فولادی</v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H83"/>
  <sheetViews>
    <sheetView showGridLines="0" showRowColHeaders="0" rightToLeft="1" tabSelected="1" showRuler="0" zoomScaleNormal="100" zoomScaleSheetLayoutView="120" zoomScalePageLayoutView="120" workbookViewId="0">
      <selection activeCell="D10" sqref="D10"/>
    </sheetView>
  </sheetViews>
  <sheetFormatPr defaultColWidth="8.83203125" defaultRowHeight="17.399999999999999"/>
  <cols>
    <col min="1" max="1" width="2.83203125" style="4" bestFit="1" customWidth="1"/>
    <col min="2" max="2" width="38.58203125" style="4" customWidth="1"/>
    <col min="3" max="3" width="6.5" style="1" customWidth="1"/>
    <col min="4" max="4" width="14.08203125" style="11" bestFit="1" customWidth="1"/>
    <col min="5" max="5" width="16.1640625" style="200" customWidth="1"/>
    <col min="6" max="6" width="45.1640625" style="4" customWidth="1"/>
    <col min="7" max="7" width="8.83203125" style="4"/>
    <col min="8" max="8" width="7.1640625" style="4" bestFit="1" customWidth="1"/>
    <col min="9" max="9" width="2.1640625" style="4" customWidth="1"/>
    <col min="10" max="16384" width="8.83203125" style="4"/>
  </cols>
  <sheetData>
    <row r="1" spans="1:6" s="2" customFormat="1" ht="9" customHeight="1" thickBot="1">
      <c r="A1" s="287"/>
      <c r="B1" s="412"/>
      <c r="C1" s="413"/>
      <c r="D1" s="413"/>
      <c r="E1" s="413"/>
    </row>
    <row r="2" spans="1:6" ht="17.25" customHeight="1">
      <c r="A2" s="405" t="s">
        <v>0</v>
      </c>
      <c r="B2" s="207" t="s">
        <v>5</v>
      </c>
      <c r="C2" s="415">
        <v>23145</v>
      </c>
      <c r="D2" s="416"/>
      <c r="E2" s="417"/>
      <c r="F2" s="3"/>
    </row>
    <row r="3" spans="1:6" ht="15.6">
      <c r="A3" s="406"/>
      <c r="B3" s="207" t="s">
        <v>6</v>
      </c>
      <c r="C3" s="414" t="s">
        <v>344</v>
      </c>
      <c r="D3" s="414"/>
      <c r="E3" s="414"/>
      <c r="F3" s="3"/>
    </row>
    <row r="4" spans="1:6" ht="84.75" customHeight="1" thickBot="1">
      <c r="A4" s="407"/>
      <c r="B4" s="208" t="s">
        <v>255</v>
      </c>
      <c r="C4" s="411" t="s">
        <v>345</v>
      </c>
      <c r="D4" s="411"/>
      <c r="E4" s="411"/>
      <c r="F4" s="3"/>
    </row>
    <row r="5" spans="1:6" ht="16.2" thickBot="1">
      <c r="A5" s="15"/>
      <c r="B5" s="117" t="s">
        <v>1</v>
      </c>
      <c r="C5" s="122" t="s">
        <v>2</v>
      </c>
      <c r="D5" s="122" t="s">
        <v>3</v>
      </c>
      <c r="E5" s="206" t="s">
        <v>4</v>
      </c>
      <c r="F5" s="3"/>
    </row>
    <row r="6" spans="1:6">
      <c r="A6" s="405" t="s">
        <v>267</v>
      </c>
      <c r="B6" s="94" t="s">
        <v>282</v>
      </c>
      <c r="C6" s="95" t="s">
        <v>82</v>
      </c>
      <c r="D6" s="96" t="s">
        <v>208</v>
      </c>
      <c r="E6" s="198" t="s">
        <v>423</v>
      </c>
      <c r="F6" s="3"/>
    </row>
    <row r="7" spans="1:6">
      <c r="A7" s="406"/>
      <c r="B7" s="97" t="s">
        <v>283</v>
      </c>
      <c r="C7" s="91" t="s">
        <v>8</v>
      </c>
      <c r="D7" s="92">
        <v>13</v>
      </c>
      <c r="E7" s="197" t="s">
        <v>424</v>
      </c>
    </row>
    <row r="8" spans="1:6">
      <c r="A8" s="406"/>
      <c r="B8" s="97" t="s">
        <v>414</v>
      </c>
      <c r="C8" s="91" t="s">
        <v>32</v>
      </c>
      <c r="D8" s="92">
        <v>1000</v>
      </c>
      <c r="E8" s="197" t="s">
        <v>34</v>
      </c>
      <c r="F8" s="131">
        <f>Q-Passengers_No.*75</f>
        <v>25</v>
      </c>
    </row>
    <row r="9" spans="1:6" s="7" customFormat="1">
      <c r="A9" s="406"/>
      <c r="B9" s="97" t="s">
        <v>284</v>
      </c>
      <c r="C9" s="91" t="s">
        <v>211</v>
      </c>
      <c r="D9" s="92">
        <v>6</v>
      </c>
      <c r="E9" s="197" t="s">
        <v>425</v>
      </c>
      <c r="F9" s="6"/>
    </row>
    <row r="10" spans="1:6">
      <c r="A10" s="406"/>
      <c r="B10" s="97" t="s">
        <v>285</v>
      </c>
      <c r="C10" s="91" t="s">
        <v>71</v>
      </c>
      <c r="D10" s="102">
        <v>30</v>
      </c>
      <c r="E10" s="197" t="s">
        <v>72</v>
      </c>
    </row>
    <row r="11" spans="1:6" s="7" customFormat="1" ht="19.8">
      <c r="A11" s="406"/>
      <c r="B11" s="97" t="s">
        <v>10</v>
      </c>
      <c r="C11" s="91" t="s">
        <v>11</v>
      </c>
      <c r="D11" s="102">
        <v>1.75</v>
      </c>
      <c r="E11" s="197" t="s">
        <v>347</v>
      </c>
    </row>
    <row r="12" spans="1:6" s="7" customFormat="1">
      <c r="A12" s="406"/>
      <c r="B12" s="97" t="s">
        <v>210</v>
      </c>
      <c r="C12" s="91" t="s">
        <v>22</v>
      </c>
      <c r="D12" s="92">
        <v>900</v>
      </c>
      <c r="E12" s="197" t="s">
        <v>209</v>
      </c>
    </row>
    <row r="13" spans="1:6" s="7" customFormat="1">
      <c r="A13" s="406"/>
      <c r="B13" s="97" t="s">
        <v>212</v>
      </c>
      <c r="C13" s="91" t="s">
        <v>82</v>
      </c>
      <c r="D13" s="92" t="s">
        <v>561</v>
      </c>
      <c r="E13" s="197" t="str">
        <f>IF(Door_Type="تلسکوپی 2 لنگه","C2R/L",IF(Door_Type="تلسکوپی 3 لنگه","C3R/L",IF(Door_Type="سانترال 2 لنگه","C2C",IF(Door_Type="سانترال 4 لنگه","C4C","C6C"))))</f>
        <v>C2C</v>
      </c>
    </row>
    <row r="14" spans="1:6" s="7" customFormat="1">
      <c r="A14" s="406"/>
      <c r="B14" s="97" t="s">
        <v>256</v>
      </c>
      <c r="C14" s="91" t="s">
        <v>22</v>
      </c>
      <c r="D14" s="92">
        <v>60</v>
      </c>
      <c r="E14" s="197" t="s">
        <v>213</v>
      </c>
    </row>
    <row r="15" spans="1:6" s="7" customFormat="1">
      <c r="A15" s="406"/>
      <c r="B15" s="97" t="s">
        <v>372</v>
      </c>
      <c r="C15" s="91" t="s">
        <v>22</v>
      </c>
      <c r="D15" s="92">
        <v>4000</v>
      </c>
      <c r="E15" s="197" t="s">
        <v>13</v>
      </c>
    </row>
    <row r="16" spans="1:6" s="7" customFormat="1">
      <c r="A16" s="406"/>
      <c r="B16" s="97" t="s">
        <v>14</v>
      </c>
      <c r="C16" s="91" t="s">
        <v>22</v>
      </c>
      <c r="D16" s="92">
        <v>1400</v>
      </c>
      <c r="E16" s="197" t="s">
        <v>15</v>
      </c>
    </row>
    <row r="17" spans="1:7" s="7" customFormat="1" ht="18" thickBot="1">
      <c r="A17" s="407"/>
      <c r="B17" s="98" t="s">
        <v>498</v>
      </c>
      <c r="C17" s="99" t="s">
        <v>82</v>
      </c>
      <c r="D17" s="129" t="s">
        <v>501</v>
      </c>
      <c r="E17" s="196" t="s">
        <v>499</v>
      </c>
    </row>
    <row r="18" spans="1:7" s="7" customFormat="1" ht="9" customHeight="1" thickBot="1">
      <c r="A18" s="286"/>
      <c r="B18" s="10"/>
      <c r="C18" s="1"/>
      <c r="D18" s="17"/>
      <c r="E18" s="193"/>
      <c r="G18" s="4"/>
    </row>
    <row r="19" spans="1:7" s="7" customFormat="1">
      <c r="A19" s="405" t="s">
        <v>17</v>
      </c>
      <c r="B19" s="395" t="s">
        <v>18</v>
      </c>
      <c r="C19" s="95" t="s">
        <v>82</v>
      </c>
      <c r="D19" s="100" t="s">
        <v>556</v>
      </c>
      <c r="E19" s="198" t="s">
        <v>19</v>
      </c>
    </row>
    <row r="20" spans="1:7" s="7" customFormat="1" ht="19.8">
      <c r="A20" s="406"/>
      <c r="B20" s="396" t="s">
        <v>221</v>
      </c>
      <c r="C20" s="91" t="s">
        <v>20</v>
      </c>
      <c r="D20" s="102">
        <v>13.2</v>
      </c>
      <c r="E20" s="197" t="s">
        <v>348</v>
      </c>
    </row>
    <row r="21" spans="1:7" s="7" customFormat="1" ht="19.8">
      <c r="A21" s="406"/>
      <c r="B21" s="396" t="s">
        <v>554</v>
      </c>
      <c r="C21" s="91" t="s">
        <v>32</v>
      </c>
      <c r="D21" s="92">
        <v>5000</v>
      </c>
      <c r="E21" s="197" t="s">
        <v>553</v>
      </c>
    </row>
    <row r="22" spans="1:7" s="7" customFormat="1" ht="19.8">
      <c r="A22" s="406"/>
      <c r="B22" s="396" t="s">
        <v>431</v>
      </c>
      <c r="C22" s="91" t="s">
        <v>32</v>
      </c>
      <c r="D22" s="92">
        <v>600</v>
      </c>
      <c r="E22" s="197" t="s">
        <v>349</v>
      </c>
    </row>
    <row r="23" spans="1:7" s="7" customFormat="1" ht="19.8">
      <c r="A23" s="406"/>
      <c r="B23" s="396" t="s">
        <v>21</v>
      </c>
      <c r="C23" s="91" t="s">
        <v>22</v>
      </c>
      <c r="D23" s="93">
        <v>560</v>
      </c>
      <c r="E23" s="197" t="s">
        <v>350</v>
      </c>
      <c r="F23" s="191">
        <f>Dt/dsr-40</f>
        <v>3.0769230769230802</v>
      </c>
    </row>
    <row r="24" spans="1:7" s="7" customFormat="1">
      <c r="A24" s="406"/>
      <c r="B24" s="396" t="s">
        <v>25</v>
      </c>
      <c r="C24" s="91" t="s">
        <v>26</v>
      </c>
      <c r="D24" s="93">
        <v>30</v>
      </c>
      <c r="E24" s="197" t="s">
        <v>241</v>
      </c>
      <c r="F24" s="190" t="str">
        <f>IF(AND(Groove_Type=1,γ&lt;35), "&lt;-Error-&gt; برای شیار V شکل، γ باید بیش از 35 باشد","&lt;-ok-&gt;")</f>
        <v>&lt;-ok-&gt;</v>
      </c>
    </row>
    <row r="25" spans="1:7" s="7" customFormat="1" ht="112.5" customHeight="1">
      <c r="A25" s="406"/>
      <c r="B25" s="397" t="s">
        <v>23</v>
      </c>
      <c r="C25" s="91"/>
      <c r="D25" s="223">
        <v>2</v>
      </c>
      <c r="E25" s="197"/>
      <c r="F25" s="343" t="str">
        <f>IF(AND(Groove_Type=1,Hardened=TRUE),"در شیار V شکل سخت کاری شده، زاویه زیر برش تاثیری ندارد","")</f>
        <v/>
      </c>
    </row>
    <row r="26" spans="1:7" s="7" customFormat="1">
      <c r="A26" s="406"/>
      <c r="B26" s="396" t="s">
        <v>24</v>
      </c>
      <c r="C26" s="91"/>
      <c r="D26" s="93" t="b">
        <v>0</v>
      </c>
      <c r="E26" s="197"/>
    </row>
    <row r="27" spans="1:7" s="7" customFormat="1">
      <c r="A27" s="406"/>
      <c r="B27" s="396" t="s">
        <v>281</v>
      </c>
      <c r="C27" s="91" t="s">
        <v>26</v>
      </c>
      <c r="D27" s="92">
        <v>0</v>
      </c>
      <c r="E27" s="197" t="s">
        <v>242</v>
      </c>
      <c r="F27" s="342"/>
    </row>
    <row r="28" spans="1:7" s="7" customFormat="1" ht="19.8">
      <c r="A28" s="406"/>
      <c r="B28" s="396" t="s">
        <v>28</v>
      </c>
      <c r="C28" s="91" t="s">
        <v>82</v>
      </c>
      <c r="D28" s="128">
        <v>0.85</v>
      </c>
      <c r="E28" s="197" t="s">
        <v>346</v>
      </c>
    </row>
    <row r="29" spans="1:7" s="7" customFormat="1">
      <c r="A29" s="406"/>
      <c r="B29" s="396" t="s">
        <v>253</v>
      </c>
      <c r="C29" s="91" t="s">
        <v>22</v>
      </c>
      <c r="D29" s="92">
        <v>692</v>
      </c>
      <c r="E29" s="199" t="s">
        <v>16</v>
      </c>
    </row>
    <row r="30" spans="1:7" s="7" customFormat="1" ht="30">
      <c r="A30" s="406"/>
      <c r="B30" s="398" t="s">
        <v>564</v>
      </c>
      <c r="C30" s="91" t="s">
        <v>82</v>
      </c>
      <c r="D30" s="92">
        <v>1</v>
      </c>
      <c r="E30" s="400" t="str">
        <f>IF(Wrap=1, "پیچش تکی  (Single Wrap)", "پیچش دوبل (Double Wrap)")</f>
        <v>پیچش تکی  (Single Wrap)</v>
      </c>
    </row>
    <row r="31" spans="1:7" s="7" customFormat="1" ht="19.8">
      <c r="A31" s="406"/>
      <c r="B31" s="396" t="s">
        <v>244</v>
      </c>
      <c r="C31" s="91" t="s">
        <v>22</v>
      </c>
      <c r="D31" s="92">
        <v>600</v>
      </c>
      <c r="E31" s="197" t="s">
        <v>351</v>
      </c>
    </row>
    <row r="32" spans="1:7" s="7" customFormat="1" ht="34.5" customHeight="1" thickBot="1">
      <c r="A32" s="407"/>
      <c r="B32" s="399" t="s">
        <v>432</v>
      </c>
      <c r="C32" s="99" t="s">
        <v>26</v>
      </c>
      <c r="D32" s="101">
        <v>300</v>
      </c>
      <c r="E32" s="196" t="s">
        <v>199</v>
      </c>
      <c r="F32" s="4">
        <f>Wrap</f>
        <v>1</v>
      </c>
    </row>
    <row r="33" spans="1:7" s="7" customFormat="1" ht="7.5" customHeight="1" thickBot="1">
      <c r="A33" s="286"/>
      <c r="B33" s="4"/>
      <c r="C33" s="1"/>
      <c r="D33" s="105"/>
      <c r="E33" s="200"/>
    </row>
    <row r="34" spans="1:7">
      <c r="A34" s="405" t="s">
        <v>268</v>
      </c>
      <c r="B34" s="94" t="s">
        <v>29</v>
      </c>
      <c r="C34" s="95" t="s">
        <v>22</v>
      </c>
      <c r="D34" s="288" t="s">
        <v>164</v>
      </c>
      <c r="E34" s="289" t="str">
        <f>INDEX(Guide_Rail_Table,Guide_Rail_Type,2)</f>
        <v>89-62-16</v>
      </c>
      <c r="F34" s="386">
        <f>MATCH(D34,'ریل راهنما'!B4:B16,0)</f>
        <v>6</v>
      </c>
    </row>
    <row r="35" spans="1:7">
      <c r="A35" s="406"/>
      <c r="B35" s="97" t="s">
        <v>30</v>
      </c>
      <c r="C35" s="91"/>
      <c r="D35" s="92" t="s">
        <v>279</v>
      </c>
      <c r="E35" s="197" t="s">
        <v>490</v>
      </c>
    </row>
    <row r="36" spans="1:7">
      <c r="A36" s="406"/>
      <c r="B36" s="97" t="s">
        <v>235</v>
      </c>
      <c r="C36" s="91" t="s">
        <v>32</v>
      </c>
      <c r="D36" s="92">
        <v>1100</v>
      </c>
      <c r="E36" s="197" t="s">
        <v>33</v>
      </c>
      <c r="F36" s="3"/>
      <c r="G36" s="7"/>
    </row>
    <row r="37" spans="1:7" ht="19.8">
      <c r="A37" s="406"/>
      <c r="B37" s="97" t="s">
        <v>35</v>
      </c>
      <c r="C37" s="91" t="s">
        <v>22</v>
      </c>
      <c r="D37" s="92">
        <v>2100</v>
      </c>
      <c r="E37" s="197" t="s">
        <v>352</v>
      </c>
      <c r="F37" s="13"/>
    </row>
    <row r="38" spans="1:7" ht="19.8">
      <c r="A38" s="406"/>
      <c r="B38" s="97" t="s">
        <v>36</v>
      </c>
      <c r="C38" s="91" t="s">
        <v>22</v>
      </c>
      <c r="D38" s="92">
        <v>1100</v>
      </c>
      <c r="E38" s="197" t="s">
        <v>353</v>
      </c>
      <c r="F38" s="13"/>
    </row>
    <row r="39" spans="1:7" ht="31.8" customHeight="1">
      <c r="A39" s="406"/>
      <c r="B39" s="393" t="s">
        <v>563</v>
      </c>
      <c r="C39" s="91" t="s">
        <v>373</v>
      </c>
      <c r="D39" s="394">
        <v>0</v>
      </c>
      <c r="E39" s="197" t="s">
        <v>562</v>
      </c>
      <c r="F39" s="13"/>
    </row>
    <row r="40" spans="1:7">
      <c r="A40" s="406"/>
      <c r="B40" s="97" t="s">
        <v>37</v>
      </c>
      <c r="C40" s="91" t="s">
        <v>22</v>
      </c>
      <c r="D40" s="92">
        <v>2000</v>
      </c>
      <c r="E40" s="197" t="s">
        <v>38</v>
      </c>
      <c r="F40" s="14"/>
    </row>
    <row r="41" spans="1:7">
      <c r="A41" s="406"/>
      <c r="B41" s="97" t="s">
        <v>286</v>
      </c>
      <c r="C41" s="91" t="s">
        <v>22</v>
      </c>
      <c r="D41" s="92">
        <v>3100</v>
      </c>
      <c r="E41" s="197" t="s">
        <v>40</v>
      </c>
      <c r="F41" s="14"/>
    </row>
    <row r="42" spans="1:7">
      <c r="A42" s="406"/>
      <c r="B42" s="97" t="s">
        <v>41</v>
      </c>
      <c r="C42" s="91" t="s">
        <v>62</v>
      </c>
      <c r="D42" s="92">
        <v>2</v>
      </c>
      <c r="E42" s="197" t="s">
        <v>42</v>
      </c>
      <c r="F42" s="14"/>
    </row>
    <row r="43" spans="1:7">
      <c r="A43" s="406"/>
      <c r="B43" s="97" t="s">
        <v>43</v>
      </c>
      <c r="C43" s="91" t="s">
        <v>82</v>
      </c>
      <c r="D43" s="103">
        <v>0.45</v>
      </c>
      <c r="E43" s="197" t="s">
        <v>44</v>
      </c>
    </row>
    <row r="44" spans="1:7">
      <c r="A44" s="406"/>
      <c r="B44" s="97" t="s">
        <v>287</v>
      </c>
      <c r="C44" s="91" t="s">
        <v>45</v>
      </c>
      <c r="D44" s="92">
        <v>0</v>
      </c>
      <c r="E44" s="197" t="s">
        <v>46</v>
      </c>
      <c r="F44" s="3"/>
    </row>
    <row r="45" spans="1:7" ht="19.8">
      <c r="A45" s="406"/>
      <c r="B45" s="97" t="s">
        <v>47</v>
      </c>
      <c r="C45" s="91" t="s">
        <v>22</v>
      </c>
      <c r="D45" s="92">
        <v>0</v>
      </c>
      <c r="E45" s="197" t="s">
        <v>354</v>
      </c>
      <c r="F45" s="3"/>
    </row>
    <row r="46" spans="1:7" ht="19.8">
      <c r="A46" s="406"/>
      <c r="B46" s="97" t="s">
        <v>48</v>
      </c>
      <c r="C46" s="91" t="s">
        <v>22</v>
      </c>
      <c r="D46" s="92">
        <v>0</v>
      </c>
      <c r="E46" s="197" t="s">
        <v>355</v>
      </c>
    </row>
    <row r="47" spans="1:7" ht="19.8">
      <c r="A47" s="406"/>
      <c r="B47" s="97" t="s">
        <v>49</v>
      </c>
      <c r="C47" s="91" t="s">
        <v>22</v>
      </c>
      <c r="D47" s="92">
        <v>100</v>
      </c>
      <c r="E47" s="197" t="s">
        <v>356</v>
      </c>
    </row>
    <row r="48" spans="1:7" ht="19.8">
      <c r="A48" s="406"/>
      <c r="B48" s="97" t="s">
        <v>50</v>
      </c>
      <c r="C48" s="91" t="s">
        <v>22</v>
      </c>
      <c r="D48" s="92">
        <v>0</v>
      </c>
      <c r="E48" s="197" t="s">
        <v>357</v>
      </c>
    </row>
    <row r="49" spans="1:6" ht="19.8">
      <c r="A49" s="406"/>
      <c r="B49" s="97" t="s">
        <v>51</v>
      </c>
      <c r="C49" s="91" t="s">
        <v>22</v>
      </c>
      <c r="D49" s="92">
        <v>0</v>
      </c>
      <c r="E49" s="197" t="s">
        <v>358</v>
      </c>
    </row>
    <row r="50" spans="1:6" ht="19.8">
      <c r="A50" s="406"/>
      <c r="B50" s="97" t="s">
        <v>52</v>
      </c>
      <c r="C50" s="91" t="s">
        <v>22</v>
      </c>
      <c r="D50" s="92">
        <v>0</v>
      </c>
      <c r="E50" s="197" t="s">
        <v>359</v>
      </c>
    </row>
    <row r="51" spans="1:6" ht="19.8">
      <c r="A51" s="406"/>
      <c r="B51" s="97" t="s">
        <v>557</v>
      </c>
      <c r="C51" s="91" t="s">
        <v>22</v>
      </c>
      <c r="D51" s="92">
        <v>1150</v>
      </c>
      <c r="E51" s="197" t="s">
        <v>360</v>
      </c>
    </row>
    <row r="52" spans="1:6" ht="20.399999999999999" thickBot="1">
      <c r="A52" s="407"/>
      <c r="B52" s="98" t="s">
        <v>558</v>
      </c>
      <c r="C52" s="99" t="s">
        <v>22</v>
      </c>
      <c r="D52" s="173">
        <v>120</v>
      </c>
      <c r="E52" s="196" t="s">
        <v>316</v>
      </c>
    </row>
    <row r="53" spans="1:6" ht="9.75" customHeight="1" thickBot="1">
      <c r="A53" s="286"/>
      <c r="D53" s="338"/>
    </row>
    <row r="54" spans="1:6" ht="19.5" customHeight="1">
      <c r="A54" s="405" t="s">
        <v>275</v>
      </c>
      <c r="B54" s="94" t="s">
        <v>55</v>
      </c>
      <c r="C54" s="95">
        <f>MATCH(D54,'جدول مشخصات سیم بکسل'!B22:B37,0)</f>
        <v>1</v>
      </c>
      <c r="D54" s="387" t="s">
        <v>457</v>
      </c>
      <c r="E54" s="339" t="str">
        <f>INDEX(Rope_Type_Table,Rope_Type,2)</f>
        <v>گوستاو ولف</v>
      </c>
      <c r="F54" s="110" t="str">
        <f>INDEX(Rope_Type_Table,Rope_Type,3)</f>
        <v>8x19 سیل با مغز کنفی</v>
      </c>
    </row>
    <row r="55" spans="1:6" ht="19.8">
      <c r="A55" s="406"/>
      <c r="B55" s="97" t="s">
        <v>57</v>
      </c>
      <c r="C55" s="91" t="s">
        <v>22</v>
      </c>
      <c r="D55" s="104">
        <v>13</v>
      </c>
      <c r="E55" s="197" t="s">
        <v>361</v>
      </c>
      <c r="F55" s="337" t="str">
        <f>IF(AND(dsr&lt;8,NOT(Rope_Type=5),NOT(Rope_Type=9),NOT(Rope_Type=16)), "&lt;-Error-&gt; برای سیم بکسل قطر 6 و 6.5 فقط نوع مغز فولادی","&lt;-ok-&gt;")</f>
        <v>&lt;-ok-&gt;</v>
      </c>
    </row>
    <row r="56" spans="1:6" ht="19.8">
      <c r="A56" s="406"/>
      <c r="B56" s="97" t="s">
        <v>61</v>
      </c>
      <c r="C56" s="91" t="s">
        <v>62</v>
      </c>
      <c r="D56" s="92">
        <v>5</v>
      </c>
      <c r="E56" s="197" t="s">
        <v>362</v>
      </c>
      <c r="F56" s="130"/>
    </row>
    <row r="57" spans="1:6" ht="18" thickBot="1">
      <c r="A57" s="406"/>
      <c r="B57" s="98" t="s">
        <v>265</v>
      </c>
      <c r="C57" s="99" t="s">
        <v>82</v>
      </c>
      <c r="D57" s="173">
        <v>1</v>
      </c>
      <c r="E57" s="196" t="s">
        <v>74</v>
      </c>
      <c r="F57" s="4">
        <v>2</v>
      </c>
    </row>
    <row r="58" spans="1:6" ht="19.8">
      <c r="A58" s="406"/>
      <c r="B58" s="94" t="s">
        <v>64</v>
      </c>
      <c r="C58" s="95" t="s">
        <v>62</v>
      </c>
      <c r="D58" s="96">
        <v>1</v>
      </c>
      <c r="E58" s="198" t="s">
        <v>363</v>
      </c>
    </row>
    <row r="59" spans="1:6" ht="20.399999999999999" thickBot="1">
      <c r="A59" s="406"/>
      <c r="B59" s="98" t="s">
        <v>67</v>
      </c>
      <c r="C59" s="99" t="s">
        <v>58</v>
      </c>
      <c r="D59" s="184">
        <v>0.45</v>
      </c>
      <c r="E59" s="196" t="s">
        <v>364</v>
      </c>
    </row>
    <row r="60" spans="1:6">
      <c r="A60" s="406"/>
      <c r="B60" s="94" t="s">
        <v>274</v>
      </c>
      <c r="C60" s="95" t="s">
        <v>82</v>
      </c>
      <c r="D60" s="189" t="str">
        <f>IF(nc&lt;1,"ندارد","دارد")</f>
        <v>دارد</v>
      </c>
      <c r="E60" s="198" t="s">
        <v>254</v>
      </c>
    </row>
    <row r="61" spans="1:6" ht="19.8">
      <c r="A61" s="406"/>
      <c r="B61" s="97" t="s">
        <v>63</v>
      </c>
      <c r="C61" s="91" t="s">
        <v>62</v>
      </c>
      <c r="D61" s="92">
        <v>1</v>
      </c>
      <c r="E61" s="197" t="s">
        <v>365</v>
      </c>
    </row>
    <row r="62" spans="1:6" ht="19.8">
      <c r="A62" s="406"/>
      <c r="B62" s="97" t="s">
        <v>66</v>
      </c>
      <c r="C62" s="91" t="s">
        <v>58</v>
      </c>
      <c r="D62" s="104">
        <v>2</v>
      </c>
      <c r="E62" s="197" t="s">
        <v>366</v>
      </c>
      <c r="F62" s="337" t="str">
        <f>IF(mcr*nc./r.&gt;msr*nS, "&lt;-Warning-&gt; وزن زنجیر جبران بیش از وزن سیم بکسل است","&lt;-ok-&gt;")</f>
        <v>&lt;-ok-&gt;</v>
      </c>
    </row>
    <row r="63" spans="1:6" ht="19.8">
      <c r="A63" s="406"/>
      <c r="B63" s="5" t="s">
        <v>288</v>
      </c>
      <c r="C63" s="91" t="s">
        <v>58</v>
      </c>
      <c r="D63" s="104">
        <v>0</v>
      </c>
      <c r="E63" s="221" t="s">
        <v>367</v>
      </c>
    </row>
    <row r="64" spans="1:6" ht="20.399999999999999" thickBot="1">
      <c r="A64" s="406"/>
      <c r="B64" s="98" t="s">
        <v>68</v>
      </c>
      <c r="C64" s="99" t="s">
        <v>58</v>
      </c>
      <c r="D64" s="173">
        <v>0</v>
      </c>
      <c r="E64" s="196" t="s">
        <v>368</v>
      </c>
    </row>
    <row r="65" spans="1:8" ht="19.8">
      <c r="A65" s="406"/>
      <c r="B65" s="176" t="s">
        <v>69</v>
      </c>
      <c r="C65" s="182" t="s">
        <v>45</v>
      </c>
      <c r="D65" s="178">
        <v>400</v>
      </c>
      <c r="E65" s="201" t="s">
        <v>369</v>
      </c>
    </row>
    <row r="66" spans="1:8" ht="19.8">
      <c r="A66" s="406"/>
      <c r="B66" s="97" t="s">
        <v>70</v>
      </c>
      <c r="C66" s="91" t="s">
        <v>45</v>
      </c>
      <c r="D66" s="92">
        <v>200</v>
      </c>
      <c r="E66" s="197" t="s">
        <v>370</v>
      </c>
    </row>
    <row r="67" spans="1:8" ht="18" thickBot="1">
      <c r="A67" s="407"/>
      <c r="B67" s="98" t="s">
        <v>276</v>
      </c>
      <c r="C67" s="99" t="s">
        <v>418</v>
      </c>
      <c r="D67" s="101">
        <v>0.6</v>
      </c>
      <c r="E67" s="196" t="s">
        <v>76</v>
      </c>
    </row>
    <row r="68" spans="1:8" ht="8.25" customHeight="1" thickBot="1">
      <c r="A68" s="286"/>
      <c r="B68" s="10"/>
      <c r="D68" s="183"/>
      <c r="E68" s="193"/>
      <c r="F68" s="130"/>
    </row>
    <row r="69" spans="1:8" ht="20.399999999999999" thickBot="1">
      <c r="A69" s="408" t="s">
        <v>277</v>
      </c>
      <c r="B69" s="94" t="s">
        <v>433</v>
      </c>
      <c r="C69" s="95" t="s">
        <v>62</v>
      </c>
      <c r="D69" s="96">
        <v>0</v>
      </c>
      <c r="E69" s="198" t="s">
        <v>371</v>
      </c>
    </row>
    <row r="70" spans="1:8" ht="15.6" thickBot="1">
      <c r="A70" s="409"/>
      <c r="B70" s="402" t="s">
        <v>263</v>
      </c>
      <c r="C70" s="403"/>
      <c r="D70" s="403"/>
      <c r="E70" s="404"/>
    </row>
    <row r="71" spans="1:8" thickBot="1">
      <c r="A71" s="409"/>
      <c r="B71" s="179" t="s">
        <v>264</v>
      </c>
      <c r="C71" s="180" t="s">
        <v>260</v>
      </c>
      <c r="D71" s="180" t="s">
        <v>262</v>
      </c>
      <c r="E71" s="203" t="s">
        <v>261</v>
      </c>
      <c r="H71" s="16"/>
    </row>
    <row r="72" spans="1:8" ht="16.8">
      <c r="A72" s="409"/>
      <c r="B72" s="176" t="s">
        <v>272</v>
      </c>
      <c r="C72" s="177">
        <v>0</v>
      </c>
      <c r="D72" s="178">
        <v>520</v>
      </c>
      <c r="E72" s="204" t="s">
        <v>555</v>
      </c>
      <c r="F72" s="190" t="str">
        <f>IF(AND(Wr&gt;1,iDPcwt+iDPcar&lt;&gt;1),"&lt;-Error-&gt; پیچش دوبل باید یک پولی ثابت داشته باشد",IF(AND(dDPcar/dsr&lt;40,iDPcar&gt;0)," &lt;-Error-&gt; قطر پولی باید حداقل 40 برابر قطر سیم بکسل باشد","&lt;-OK-&gt;"))</f>
        <v>&lt;-OK-&gt;</v>
      </c>
    </row>
    <row r="73" spans="1:8" ht="16.8">
      <c r="A73" s="409"/>
      <c r="B73" s="97" t="s">
        <v>271</v>
      </c>
      <c r="C73" s="175">
        <v>1</v>
      </c>
      <c r="D73" s="178">
        <v>520</v>
      </c>
      <c r="E73" s="204" t="s">
        <v>555</v>
      </c>
      <c r="F73" s="190" t="str">
        <f>IF(AND(Wr&gt;1,iDPcwt+iDPcar&lt;&gt;1),"&lt;-Error-&gt; پیچش دوبل باید یک پولی ثابت داشته باشد",IF(AND(dDPcwt/dsr&lt;40,iDPcwt&gt;0),"&lt;-Error-&gt; قطر پولی باید حداقل 40 برابر قطر سیم بکسل باشد","&lt;-OK-&gt;" ))</f>
        <v>&lt;-OK-&gt;</v>
      </c>
    </row>
    <row r="74" spans="1:8" ht="16.8">
      <c r="A74" s="409"/>
      <c r="B74" s="97" t="s">
        <v>269</v>
      </c>
      <c r="C74" s="175">
        <v>0</v>
      </c>
      <c r="D74" s="178">
        <v>400</v>
      </c>
      <c r="E74" s="204" t="s">
        <v>555</v>
      </c>
      <c r="F74" s="190" t="str">
        <f>IF(AND(r.&gt;1,iPcar&lt;1),"&lt;-Error-&gt;  درسیستم 2:1حداقل باید یک پولی داشته باشد",IF(AND(dPcar/dsr&lt;40,iPcar&gt;0),"&lt;-Error-&gt; قطر پولی باید حداقل 40 برابر قطر سیم بکسل باشد","&lt;-OK-&gt;"))</f>
        <v>&lt;-OK-&gt;</v>
      </c>
    </row>
    <row r="75" spans="1:8" thickBot="1">
      <c r="A75" s="410"/>
      <c r="B75" s="98" t="s">
        <v>270</v>
      </c>
      <c r="C75" s="181">
        <v>0</v>
      </c>
      <c r="D75" s="185">
        <v>400</v>
      </c>
      <c r="E75" s="205" t="s">
        <v>280</v>
      </c>
      <c r="F75" s="190" t="str">
        <f>IF(AND(r.&gt;1,iPcwt&lt;1),"&lt;-Error-&gt;  درسیستم 2:1حداقل باید یک پولی داشته باشد",IF(AND(dPcwt/dsr&lt;40,iPcwt&gt;0),"&lt;-Error-&gt; قطر پولی باید حداقل 40 برابر قطر سیم بکسل باشد","&lt;-OK-&gt;"))</f>
        <v>&lt;-OK-&gt;</v>
      </c>
    </row>
    <row r="76" spans="1:8" ht="19.5" customHeight="1"/>
    <row r="77" spans="1:8" ht="19.5" customHeight="1"/>
    <row r="78" spans="1:8">
      <c r="B78" s="1"/>
      <c r="C78" s="11"/>
      <c r="D78" s="12"/>
      <c r="E78" s="202"/>
    </row>
    <row r="79" spans="1:8" ht="18.75" customHeight="1">
      <c r="B79" s="1"/>
      <c r="C79" s="11"/>
      <c r="D79" s="12"/>
      <c r="E79" s="202"/>
    </row>
    <row r="80" spans="1:8" ht="18.75" customHeight="1"/>
    <row r="82" ht="18.75" customHeight="1"/>
    <row r="83" ht="18.75" customHeight="1"/>
  </sheetData>
  <sheetProtection password="F946" sheet="1" objects="1" scenarios="1" selectLockedCells="1"/>
  <scenarios current="0" show="0" sqref="F60">
    <scenario name="test" locked="1" count="3" user="Hariri" comment="Created by Hariri on 8/22/2016_x000a_Modified by Hariri on 8/22/2016">
      <inputCells r="D57" val="2" numFmtId="3"/>
      <inputCells r="C74" val="1"/>
      <inputCells r="C75" val="1"/>
    </scenario>
  </scenarios>
  <dataConsolidate/>
  <customSheetViews>
    <customSheetView guid="{0B2838C1-64E2-4766-B82E-FE301CB42C7D}" scale="115" showGridLines="0" topLeftCell="A53">
      <selection activeCell="D62" sqref="D62"/>
      <pageMargins left="0.7" right="0.7" top="0.75" bottom="0.75" header="0.3" footer="0.3"/>
      <pageSetup orientation="portrait" r:id="rId1"/>
    </customSheetView>
  </customSheetViews>
  <mergeCells count="11">
    <mergeCell ref="A6:A17"/>
    <mergeCell ref="C4:E4"/>
    <mergeCell ref="B1:E1"/>
    <mergeCell ref="C3:E3"/>
    <mergeCell ref="C2:E2"/>
    <mergeCell ref="A2:A4"/>
    <mergeCell ref="B70:E70"/>
    <mergeCell ref="A34:A52"/>
    <mergeCell ref="A69:A75"/>
    <mergeCell ref="A54:A67"/>
    <mergeCell ref="A19:A32"/>
  </mergeCells>
  <conditionalFormatting sqref="F72:F75">
    <cfRule type="containsText" dxfId="20" priority="7" operator="containsText" text="Error">
      <formula>NOT(ISERROR(SEARCH("Error",F72)))</formula>
    </cfRule>
  </conditionalFormatting>
  <conditionalFormatting sqref="F62">
    <cfRule type="containsText" dxfId="19" priority="6" stopIfTrue="1" operator="containsText" text="Warning">
      <formula>NOT(ISERROR(SEARCH("Warning",F62)))</formula>
    </cfRule>
  </conditionalFormatting>
  <conditionalFormatting sqref="F24">
    <cfRule type="containsText" dxfId="18" priority="5" operator="containsText" text="Error">
      <formula>NOT(ISERROR(SEARCH("Error",F24)))</formula>
    </cfRule>
  </conditionalFormatting>
  <conditionalFormatting sqref="D8">
    <cfRule type="cellIs" dxfId="17" priority="4" operator="lessThan">
      <formula>$D$7*75</formula>
    </cfRule>
  </conditionalFormatting>
  <conditionalFormatting sqref="D23">
    <cfRule type="cellIs" dxfId="16" priority="3" operator="lessThan">
      <formula>40*dsr</formula>
    </cfRule>
  </conditionalFormatting>
  <conditionalFormatting sqref="D62">
    <cfRule type="cellIs" dxfId="15" priority="2" operator="greaterThan">
      <formula>r.*msr*nS/nc.</formula>
    </cfRule>
  </conditionalFormatting>
  <conditionalFormatting sqref="F55 D55">
    <cfRule type="containsText" dxfId="14" priority="1" stopIfTrue="1" operator="containsText" text="Error">
      <formula>NOT(ISERROR(SEARCH("Error",D55)))</formula>
    </cfRule>
  </conditionalFormatting>
  <dataValidations xWindow="673" yWindow="328" count="36">
    <dataValidation type="list" showInputMessage="1" showErrorMessage="1" errorTitle="خطا" error="این برنامه فقط برای آسانسورهای یک به یک و دو به یک کاربرد دارد." sqref="D57">
      <formula1>"1,2"</formula1>
    </dataValidation>
    <dataValidation type="list" showInputMessage="1" promptTitle="نوع موتور" prompt="نوع موتور را مشخص كنيد" sqref="D19">
      <formula1>"Elecomp, Montanari, Sicor, Alberto Sassi, Akish, Fia, Elco, Behran, Sico, Wittur, Ziehl Abegg, Sitor,Shindeler"</formula1>
    </dataValidation>
    <dataValidation type="list" showInputMessage="1" showErrorMessage="1" promptTitle=" کاربری آسانسور را انتخاب کنید:" prompt="کاربری مسافری یا باری- مسافری" sqref="D6">
      <formula1>"باری-مسافری, مسافری"</formula1>
    </dataValidation>
    <dataValidation allowBlank="1" promptTitle="تعيين تعداد طبقات" prompt="از ليست مقابل طبقات مورد نظر را وارد كنيد" sqref="C9"/>
    <dataValidation type="decimal" showInputMessage="1" showErrorMessage="1" errorTitle="خطا" error="سزعت آسانسور بین 0.1 تا 10 متر بر ثانیه باید باشد." promptTitle="سرعت كابين" prompt="سرعت كابين را وارد كنيد" sqref="D11">
      <formula1>0.1</formula1>
      <formula2>10</formula2>
    </dataValidation>
    <dataValidation type="whole" operator="notEqual" showErrorMessage="1" promptTitle="عمق چاهك" prompt="عمق چاهك را بر حسب سانتيمتر وارد كنيد" sqref="D16">
      <formula1>0</formula1>
    </dataValidation>
    <dataValidation type="whole" operator="notEqual" showErrorMessage="1" promptTitle="مقدار اورهد" prompt="مقدار اورهد را بر حسب سانتيمتر وارد كنيد" sqref="D15">
      <formula1>0</formula1>
    </dataValidation>
    <dataValidation type="list" showErrorMessage="1" promptTitle="نوع ترمز ايمني" prompt="نوع ترمز ايمني را انتخاب كنيد" sqref="D35">
      <formula1>"تدریجی,غلطکی, لحظه ای"</formula1>
    </dataValidation>
    <dataValidation type="list" showErrorMessage="1" sqref="D43">
      <formula1>"50%,%45,%40,%35"</formula1>
    </dataValidation>
    <dataValidation type="decimal" operator="greaterThanOrEqual" showInputMessage="1" showErrorMessage="1" promptTitle="زاویه پیچش طناب" prompt="زاویه پیچش طناب ها روی فلکه کششی (باه صورت دستی) برای محاسبه مطابق شکل روبرو این مقدار را صفر بگذارید" sqref="D32">
      <formula1>0</formula1>
    </dataValidation>
    <dataValidation type="list" showDropDown="1" showInputMessage="1" showErrorMessage="1" sqref="D60">
      <formula1>"دارد,ندارد"</formula1>
    </dataValidation>
    <dataValidation type="whole" operator="greaterThanOrEqual" showInputMessage="1" showErrorMessage="1" errorTitle="خطا" error="حداقل ظرفیت بار نامی= تعداد مسافر * 75 کیلوگرم" promptTitle="ظرفیت بار آسانسور را مشخص کنید:" prompt="ظزفیت بار نامی آسانسور را بر حسب کیلوگرم وارد کنید. این مقدار باید حداقل معادل تعداد مسافرین ضربدر 75 کیلوگرم باشد." sqref="D8">
      <formula1>D7*75</formula1>
    </dataValidation>
    <dataValidation type="list" showErrorMessage="1" promptTitle="مقدار اورهد" prompt="مقدار اورهد را بر حسب سانتيمتر وارد كنيد" sqref="D13">
      <formula1>"تلسکوپی 2 لنگه, تلسکوپی 3 لنگه, سانترال 2 لنگه,سانترال 4 لنگه, سانترال 6 لنگه"</formula1>
    </dataValidation>
    <dataValidation type="list" showErrorMessage="1" promptTitle="مقدار اورهد" prompt="مقدار اورهد را بر حسب سانتيمتر وارد كنيد" sqref="D12">
      <formula1>"700,800,900,1000,1100,1200,1300,1400,1600,2000,2400,3000"</formula1>
    </dataValidation>
    <dataValidation type="list" allowBlank="1" showInputMessage="1" showErrorMessage="1" sqref="C72:C75">
      <formula1>"0,1,2"</formula1>
    </dataValidation>
    <dataValidation type="whole" showInputMessage="1" showErrorMessage="1" sqref="D23">
      <formula1>235</formula1>
      <formula2>1000</formula2>
    </dataValidation>
    <dataValidation type="list" allowBlank="1" showInputMessage="1" showErrorMessage="1" sqref="E72:E75">
      <formula1>" چدنی, پلیمری"</formula1>
    </dataValidation>
    <dataValidation type="list" showInputMessage="1" showErrorMessage="1" sqref="D58">
      <formula1>"1,2,3"</formula1>
    </dataValidation>
    <dataValidation type="whole" showInputMessage="1" showErrorMessage="1" errorTitle="خطا" error="تعداد طبقات بین 2 تا 100 طبقه باید باشد." sqref="D9">
      <formula1>2</formula1>
      <formula2>100</formula2>
    </dataValidation>
    <dataValidation showInputMessage="1" showErrorMessage="1" sqref="F7"/>
    <dataValidation type="decimal" errorStyle="warning" operator="greaterThanOrEqual" showInputMessage="1" showErrorMessage="1" errorTitle="توجه" error="طول مسیر با توجه به تعداد طیقات کم بنظر میرسد. آیا مطمین هستید؟" sqref="D10">
      <formula1>(D9-1)*3</formula1>
    </dataValidation>
    <dataValidation type="whole" operator="greaterThan" showInputMessage="1" showErrorMessage="1" errorTitle="خطا" error="تعداد مسافرین باید عددی صحیح بزرگتر از صفر باشد." promptTitle="ظرفیت تغداد مسافرین آسانسور:" prompt=" ظرفیت مسافرین آسانسور را بر حسب تعداد نفر وارد کنید." sqref="D7">
      <formula1>0</formula1>
    </dataValidation>
    <dataValidation type="whole" showInputMessage="1" showErrorMessage="1" sqref="D36">
      <formula1>100</formula1>
      <formula2>4000</formula2>
    </dataValidation>
    <dataValidation type="whole" showErrorMessage="1" errorTitle="خطا" error="عمق آستانه کابین جلوی در بین 10 تا 120 میلی متر باید باشد." promptTitle="مقدار اورهد" prompt="مقدار اورهد را بر حسب سانتيمتر وارد كنيد" sqref="D14">
      <formula1>10</formula1>
      <formula2>120</formula2>
    </dataValidation>
    <dataValidation type="decimal" showInputMessage="1" showErrorMessage="1" sqref="D20">
      <formula1>1</formula1>
      <formula2>100</formula2>
    </dataValidation>
    <dataValidation type="whole" showInputMessage="1" showErrorMessage="1" sqref="D22">
      <formula1>1</formula1>
      <formula2>1000</formula2>
    </dataValidation>
    <dataValidation type="whole" showInputMessage="1" showErrorMessage="1" sqref="D25">
      <formula1>1</formula1>
      <formula2>2</formula2>
    </dataValidation>
    <dataValidation type="decimal" showInputMessage="1" showErrorMessage="1" sqref="D28">
      <formula1>0.4</formula1>
      <formula2>1</formula2>
    </dataValidation>
    <dataValidation type="whole" operator="greaterThan" showInputMessage="1" showErrorMessage="1" sqref="D40:D41 D37:D38 D29 D31">
      <formula1>0</formula1>
    </dataValidation>
    <dataValidation type="list" showInputMessage="1" showErrorMessage="1" sqref="D42">
      <formula1>"2,4"</formula1>
    </dataValidation>
    <dataValidation type="decimal" operator="greaterThanOrEqual" showInputMessage="1" showErrorMessage="1" sqref="D59 D62:D66 D39">
      <formula1>0</formula1>
    </dataValidation>
    <dataValidation type="whole" operator="greaterThanOrEqual" showInputMessage="1" showErrorMessage="1" sqref="D44:D52 D61">
      <formula1>0</formula1>
    </dataValidation>
    <dataValidation type="list" showInputMessage="1" showErrorMessage="1" sqref="D67">
      <formula1>"0.5,0.6,0.7,0.8,0.9"</formula1>
    </dataValidation>
    <dataValidation type="list" allowBlank="1" showInputMessage="1" showErrorMessage="1" prompt="چه تعداد از فلکه های ثابت ذیل دارای خم معکوس هستند؟_x000a_خم معکوس خمی است که: _x000a_1- جهت خم عکس خم قبلی _x000a_2- فاصله بین دو خم کمتر از 200 برابر قطر سیم بکسل_x000a_3- نسبت به خم قبلی ثابت" sqref="D69">
      <formula1>"0,1,2,3,4,5,6"</formula1>
    </dataValidation>
    <dataValidation type="decimal" showInputMessage="1" showErrorMessage="1" sqref="D21">
      <formula1>100</formula1>
      <formula2>10000</formula2>
    </dataValidation>
    <dataValidation type="list" operator="greaterThan" showInputMessage="1" showErrorMessage="1" errorTitle="خطا" error="باید فقط عدد 1 یا 2 را انتخاب کنید" prompt="تعداد پیچش طناب ها روی فلکه را وارد کنید:_x000a_single wrap=1, double wrap=2" sqref="D30">
      <formula1>"1,2"</formula1>
    </dataValidation>
  </dataValidations>
  <printOptions horizontalCentered="1"/>
  <pageMargins left="0.39370078740157483" right="0.39370078740157483" top="1.5748031496062993" bottom="0.23622047244094491" header="3.937007874015748E-2" footer="3.937007874015748E-2"/>
  <pageSetup paperSize="9" scale="97" fitToHeight="0" orientation="portrait" r:id="rId2"/>
  <rowBreaks count="1" manualBreakCount="1">
    <brk id="32" max="16383" man="1"/>
  </row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" r:id="rId5" name="Check Box 5">
              <controlPr locked="0" defaultSize="0" autoFill="0" autoLine="0" autoPict="0" altText="  شده">
                <anchor moveWithCells="1">
                  <from>
                    <xdr:col>3</xdr:col>
                    <xdr:colOff>68580</xdr:colOff>
                    <xdr:row>25</xdr:row>
                    <xdr:rowOff>7620</xdr:rowOff>
                  </from>
                  <to>
                    <xdr:col>3</xdr:col>
                    <xdr:colOff>1257300</xdr:colOff>
                    <xdr:row>25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6" name="Option Button 9">
              <controlPr locked="0" defaultSize="0" autoFill="0" autoLine="0" autoPict="0">
                <anchor moveWithCells="1">
                  <from>
                    <xdr:col>3</xdr:col>
                    <xdr:colOff>144780</xdr:colOff>
                    <xdr:row>24</xdr:row>
                    <xdr:rowOff>1226820</xdr:rowOff>
                  </from>
                  <to>
                    <xdr:col>3</xdr:col>
                    <xdr:colOff>1143000</xdr:colOff>
                    <xdr:row>24</xdr:row>
                    <xdr:rowOff>1409700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7" name="Option Button 10">
              <controlPr locked="0" defaultSize="0" autoFill="0" autoLine="0" autoPict="0">
                <anchor moveWithCells="1">
                  <from>
                    <xdr:col>4</xdr:col>
                    <xdr:colOff>190500</xdr:colOff>
                    <xdr:row>24</xdr:row>
                    <xdr:rowOff>1219200</xdr:rowOff>
                  </from>
                  <to>
                    <xdr:col>4</xdr:col>
                    <xdr:colOff>1226820</xdr:colOff>
                    <xdr:row>24</xdr:row>
                    <xdr:rowOff>1409700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673" yWindow="328" count="8">
        <x14:dataValidation type="list" showInputMessage="1" showErrorMessage="1">
          <x14:formula1>
            <xm:f>'جدول مشخصات سیم بکسل'!$B$22:$B$37</xm:f>
          </x14:formula1>
          <xm:sqref>D54</xm:sqref>
        </x14:dataValidation>
        <x14:dataValidation type="list" showInputMessage="1" showErrorMessage="1">
          <x14:formula1>
            <xm:f>'فلکه هرزگرد'!$B$16:$B$18</xm:f>
          </x14:formula1>
          <xm:sqref>D17</xm:sqref>
        </x14:dataValidation>
        <x14:dataValidation type="list" showInputMessage="1" showErrorMessage="1">
          <x14:formula1>
            <xm:f>'مساحت کابین &amp; Neq(t)'!$J$2:$T$2</xm:f>
          </x14:formula1>
          <xm:sqref>D24</xm:sqref>
        </x14:dataValidation>
        <x14:dataValidation type="list" showInputMessage="1" showErrorMessage="1">
          <x14:formula1>
            <xm:f>'فلکه هرزگرد'!$B$4:$B$13</xm:f>
          </x14:formula1>
          <xm:sqref>D56</xm:sqref>
        </x14:dataValidation>
        <x14:dataValidation type="list" allowBlank="1" showInputMessage="1" showErrorMessage="1" errorTitle="خطا" error="از ابعاد کمبو باگس استفاده کنید">
          <x14:formula1>
            <xm:f>'فلکه هرزگرد'!$D$3:$O$3</xm:f>
          </x14:formula1>
          <xm:sqref>D72:D75</xm:sqref>
        </x14:dataValidation>
        <x14:dataValidation type="list" showInputMessage="1" showErrorMessage="1" errorTitle="خطا" error="از روی لیست انتخاب کنید">
          <x14:formula1>
            <xm:f>'جدول مشخصات سیم بکسل'!$A$7:$A$14</xm:f>
          </x14:formula1>
          <xm:sqref>D55</xm:sqref>
        </x14:dataValidation>
        <x14:dataValidation type="list" showInputMessage="1" showErrorMessage="1">
          <x14:formula1>
            <xm:f>'ریل راهنما'!$B$4:$B$16</xm:f>
          </x14:formula1>
          <xm:sqref>D34</xm:sqref>
        </x14:dataValidation>
        <x14:dataValidation type="list" showInputMessage="1" showErrorMessage="1">
          <x14:formula1>
            <xm:f>'مساحت کابین &amp; Neq(t)'!$J$5:$U$5</xm:f>
          </x14:formula1>
          <xm:sqref>D27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8"/>
  <sheetData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 fitToPage="1"/>
  </sheetPr>
  <dimension ref="A1:F129"/>
  <sheetViews>
    <sheetView rightToLeft="1" showRuler="0" view="pageBreakPreview" topLeftCell="A48" zoomScale="120" zoomScaleNormal="140" zoomScaleSheetLayoutView="120" zoomScalePageLayoutView="140" workbookViewId="0">
      <selection activeCell="C26" sqref="C26"/>
    </sheetView>
  </sheetViews>
  <sheetFormatPr defaultColWidth="8.83203125" defaultRowHeight="21" customHeight="1"/>
  <cols>
    <col min="1" max="1" width="38.6640625" style="10" customWidth="1"/>
    <col min="2" max="2" width="7.6640625" style="1" customWidth="1"/>
    <col min="3" max="3" width="10.6640625" style="238" bestFit="1" customWidth="1"/>
    <col min="4" max="4" width="42.6640625" style="218" customWidth="1"/>
    <col min="5" max="5" width="9.4140625" style="1" bestFit="1" customWidth="1"/>
    <col min="6" max="16384" width="8.83203125" style="1"/>
  </cols>
  <sheetData>
    <row r="1" spans="1:6" ht="24" customHeight="1" thickBot="1">
      <c r="A1" s="423" t="s">
        <v>96</v>
      </c>
      <c r="B1" s="424"/>
      <c r="C1" s="424"/>
      <c r="D1" s="425"/>
    </row>
    <row r="2" spans="1:6" ht="18.75" customHeight="1" thickBot="1">
      <c r="A2" s="120" t="s">
        <v>1</v>
      </c>
      <c r="B2" s="121" t="s">
        <v>2</v>
      </c>
      <c r="C2" s="236" t="s">
        <v>3</v>
      </c>
      <c r="D2" s="228" t="s">
        <v>4</v>
      </c>
    </row>
    <row r="3" spans="1:6" ht="17.399999999999999">
      <c r="A3" s="127" t="s">
        <v>80</v>
      </c>
      <c r="B3" s="126"/>
      <c r="C3" s="171"/>
      <c r="D3" s="192"/>
    </row>
    <row r="4" spans="1:6" ht="17.399999999999999">
      <c r="A4" s="5" t="s">
        <v>31</v>
      </c>
      <c r="B4" s="1" t="s">
        <v>32</v>
      </c>
      <c r="C4" s="237">
        <f>P</f>
        <v>1100</v>
      </c>
      <c r="D4" s="229" t="s">
        <v>33</v>
      </c>
    </row>
    <row r="5" spans="1:6" ht="17.399999999999999">
      <c r="A5" s="5" t="s">
        <v>81</v>
      </c>
      <c r="B5" s="1" t="s">
        <v>32</v>
      </c>
      <c r="C5" s="237">
        <f>Q</f>
        <v>1000</v>
      </c>
      <c r="D5" s="229" t="s">
        <v>34</v>
      </c>
    </row>
    <row r="6" spans="1:6" ht="19.8">
      <c r="A6" s="5" t="s">
        <v>35</v>
      </c>
      <c r="B6" s="1" t="s">
        <v>22</v>
      </c>
      <c r="C6" s="237">
        <f>DX</f>
        <v>2100</v>
      </c>
      <c r="D6" s="229" t="s">
        <v>307</v>
      </c>
    </row>
    <row r="7" spans="1:6" ht="19.8">
      <c r="A7" s="5" t="s">
        <v>36</v>
      </c>
      <c r="B7" s="1" t="s">
        <v>22</v>
      </c>
      <c r="C7" s="237">
        <f>DY</f>
        <v>1100</v>
      </c>
      <c r="D7" s="229" t="s">
        <v>308</v>
      </c>
    </row>
    <row r="8" spans="1:6" ht="17.399999999999999">
      <c r="A8" s="5" t="s">
        <v>37</v>
      </c>
      <c r="B8" s="1" t="s">
        <v>22</v>
      </c>
      <c r="C8" s="237">
        <f>L</f>
        <v>2000</v>
      </c>
      <c r="D8" s="229" t="s">
        <v>38</v>
      </c>
    </row>
    <row r="9" spans="1:6" ht="17.399999999999999">
      <c r="A9" s="5" t="s">
        <v>39</v>
      </c>
      <c r="B9" s="1" t="s">
        <v>22</v>
      </c>
      <c r="C9" s="237">
        <f>h</f>
        <v>3100</v>
      </c>
      <c r="D9" s="229" t="s">
        <v>40</v>
      </c>
    </row>
    <row r="10" spans="1:6" ht="17.399999999999999">
      <c r="A10" s="5" t="s">
        <v>41</v>
      </c>
      <c r="B10" s="1" t="s">
        <v>62</v>
      </c>
      <c r="C10" s="237">
        <f>n</f>
        <v>2</v>
      </c>
      <c r="D10" s="229" t="s">
        <v>42</v>
      </c>
    </row>
    <row r="11" spans="1:6" ht="17.399999999999999">
      <c r="A11" s="5" t="s">
        <v>303</v>
      </c>
      <c r="B11" s="1" t="s">
        <v>45</v>
      </c>
      <c r="C11" s="237">
        <f>M</f>
        <v>0</v>
      </c>
      <c r="D11" s="229" t="s">
        <v>46</v>
      </c>
    </row>
    <row r="12" spans="1:6" ht="19.8">
      <c r="A12" s="5" t="s">
        <v>47</v>
      </c>
      <c r="B12" s="1" t="s">
        <v>22</v>
      </c>
      <c r="C12" s="237">
        <f>XC</f>
        <v>0</v>
      </c>
      <c r="D12" s="229" t="s">
        <v>309</v>
      </c>
    </row>
    <row r="13" spans="1:6" ht="19.8">
      <c r="A13" s="5" t="s">
        <v>48</v>
      </c>
      <c r="B13" s="1" t="s">
        <v>22</v>
      </c>
      <c r="C13" s="237">
        <f>YC</f>
        <v>0</v>
      </c>
      <c r="D13" s="229" t="s">
        <v>310</v>
      </c>
    </row>
    <row r="14" spans="1:6" ht="19.8">
      <c r="A14" s="5" t="s">
        <v>49</v>
      </c>
      <c r="B14" s="1" t="s">
        <v>22</v>
      </c>
      <c r="C14" s="237">
        <f>XP</f>
        <v>100</v>
      </c>
      <c r="D14" s="229" t="s">
        <v>311</v>
      </c>
    </row>
    <row r="15" spans="1:6" ht="19.8">
      <c r="A15" s="5" t="s">
        <v>50</v>
      </c>
      <c r="B15" s="1" t="s">
        <v>22</v>
      </c>
      <c r="C15" s="237">
        <f>YP</f>
        <v>0</v>
      </c>
      <c r="D15" s="229" t="s">
        <v>312</v>
      </c>
    </row>
    <row r="16" spans="1:6" ht="19.8">
      <c r="A16" s="5" t="s">
        <v>51</v>
      </c>
      <c r="B16" s="1" t="s">
        <v>22</v>
      </c>
      <c r="C16" s="237">
        <f>XS</f>
        <v>0</v>
      </c>
      <c r="D16" s="229" t="s">
        <v>313</v>
      </c>
      <c r="F16" s="18"/>
    </row>
    <row r="17" spans="1:4" ht="19.8">
      <c r="A17" s="5" t="s">
        <v>302</v>
      </c>
      <c r="B17" s="1" t="s">
        <v>22</v>
      </c>
      <c r="C17" s="237">
        <f>YS</f>
        <v>0</v>
      </c>
      <c r="D17" s="229" t="s">
        <v>314</v>
      </c>
    </row>
    <row r="18" spans="1:4" ht="19.8">
      <c r="A18" s="5" t="s">
        <v>53</v>
      </c>
      <c r="B18" s="1" t="s">
        <v>22</v>
      </c>
      <c r="C18" s="238">
        <f>Xi</f>
        <v>1150</v>
      </c>
      <c r="D18" s="229" t="s">
        <v>315</v>
      </c>
    </row>
    <row r="19" spans="1:4" ht="19.8">
      <c r="A19" s="5" t="s">
        <v>54</v>
      </c>
      <c r="B19" s="1" t="s">
        <v>22</v>
      </c>
      <c r="C19" s="238">
        <f>Yi</f>
        <v>120</v>
      </c>
      <c r="D19" s="229" t="s">
        <v>316</v>
      </c>
    </row>
    <row r="20" spans="1:4" ht="19.8">
      <c r="A20" s="5" t="s">
        <v>251</v>
      </c>
      <c r="B20" s="1" t="s">
        <v>82</v>
      </c>
      <c r="C20" s="237">
        <f>IF(Safety_gear_Type="تدریجی", 2,IF(Safety_gear_Type="غلطکی",3,5))</f>
        <v>2</v>
      </c>
      <c r="D20" s="229" t="s">
        <v>317</v>
      </c>
    </row>
    <row r="21" spans="1:4" ht="19.8">
      <c r="A21" s="5" t="s">
        <v>83</v>
      </c>
      <c r="B21" s="1" t="s">
        <v>82</v>
      </c>
      <c r="C21" s="237">
        <v>2</v>
      </c>
      <c r="D21" s="229" t="s">
        <v>318</v>
      </c>
    </row>
    <row r="22" spans="1:4" ht="19.8">
      <c r="A22" s="5" t="s">
        <v>84</v>
      </c>
      <c r="B22" s="1" t="s">
        <v>82</v>
      </c>
      <c r="C22" s="237">
        <v>2</v>
      </c>
      <c r="D22" s="229" t="s">
        <v>319</v>
      </c>
    </row>
    <row r="23" spans="1:4" ht="17.399999999999999">
      <c r="A23" s="5" t="s">
        <v>85</v>
      </c>
      <c r="B23" s="1" t="s">
        <v>417</v>
      </c>
      <c r="C23" s="237">
        <v>210000</v>
      </c>
      <c r="D23" s="229" t="s">
        <v>246</v>
      </c>
    </row>
    <row r="24" spans="1:4" ht="19.8">
      <c r="A24" s="5" t="s">
        <v>86</v>
      </c>
      <c r="B24" s="1" t="s">
        <v>87</v>
      </c>
      <c r="C24" s="237">
        <f>IF(Q&lt;2500,0.4*gn*Q,IF(Lift_Type="مسافری",0.6*gn*Q,0.85*gn*Q))</f>
        <v>3924.0000000000005</v>
      </c>
      <c r="D24" s="229" t="s">
        <v>320</v>
      </c>
    </row>
    <row r="25" spans="1:4" ht="19.8">
      <c r="A25" s="5" t="s">
        <v>88</v>
      </c>
      <c r="B25" s="1" t="s">
        <v>418</v>
      </c>
      <c r="C25" s="238">
        <v>9.81</v>
      </c>
      <c r="D25" s="229" t="s">
        <v>321</v>
      </c>
    </row>
    <row r="26" spans="1:4" ht="17.399999999999999">
      <c r="A26" s="5" t="s">
        <v>89</v>
      </c>
      <c r="B26" s="1" t="s">
        <v>22</v>
      </c>
      <c r="C26" s="238" t="str">
        <f>INDEX(Guide_Rail_Table,Guide_Rail_Type,2)</f>
        <v>89-62-16</v>
      </c>
      <c r="D26" s="230" t="str">
        <f>INDEX(Guide_Rail_Table,Guide_Rail_Type,1)</f>
        <v>T89/A-B</v>
      </c>
    </row>
    <row r="27" spans="1:4" ht="17.399999999999999">
      <c r="A27" s="5" t="s">
        <v>223</v>
      </c>
      <c r="B27" s="1" t="s">
        <v>419</v>
      </c>
      <c r="C27" s="237">
        <f>INDEX(Guide_Rail_Table,Guide_Rail_Type,3)*100</f>
        <v>1570</v>
      </c>
      <c r="D27" s="229" t="s">
        <v>247</v>
      </c>
    </row>
    <row r="28" spans="1:4" ht="17.399999999999999">
      <c r="A28" s="5" t="s">
        <v>222</v>
      </c>
      <c r="B28" s="1" t="s">
        <v>150</v>
      </c>
      <c r="C28" s="238">
        <f>INDEX(Guide_Rail_Table,Guide_Rail_Type,4)</f>
        <v>12.3</v>
      </c>
      <c r="D28" s="229" t="s">
        <v>248</v>
      </c>
    </row>
    <row r="29" spans="1:4" ht="17.399999999999999">
      <c r="A29" s="5" t="s">
        <v>90</v>
      </c>
      <c r="B29" s="1" t="s">
        <v>22</v>
      </c>
      <c r="C29" s="238">
        <f>INDEX(Guide_Rail_Table,Guide_Rail_Type,5)</f>
        <v>10</v>
      </c>
      <c r="D29" s="229" t="s">
        <v>249</v>
      </c>
    </row>
    <row r="30" spans="1:4" ht="19.8">
      <c r="A30" s="5" t="s">
        <v>91</v>
      </c>
      <c r="B30" s="1" t="s">
        <v>420</v>
      </c>
      <c r="C30" s="237">
        <f>INDEX(Guide_Rail_Table,Guide_Rail_Type,6)*10000</f>
        <v>595200</v>
      </c>
      <c r="D30" s="229" t="s">
        <v>322</v>
      </c>
    </row>
    <row r="31" spans="1:4" ht="19.8">
      <c r="A31" s="5" t="s">
        <v>91</v>
      </c>
      <c r="B31" s="1" t="s">
        <v>420</v>
      </c>
      <c r="C31" s="237">
        <f>INDEX(Guide_Rail_Table,Guide_Rail_Type,9)*10000</f>
        <v>524000</v>
      </c>
      <c r="D31" s="229" t="s">
        <v>323</v>
      </c>
    </row>
    <row r="32" spans="1:4" ht="19.8">
      <c r="A32" s="5" t="s">
        <v>92</v>
      </c>
      <c r="B32" s="1" t="s">
        <v>421</v>
      </c>
      <c r="C32" s="237">
        <f>INDEX(Guide_Rail_Table,Guide_Rail_Type,7)*1000</f>
        <v>14250</v>
      </c>
      <c r="D32" s="229" t="s">
        <v>324</v>
      </c>
    </row>
    <row r="33" spans="1:5" ht="19.8">
      <c r="A33" s="5" t="s">
        <v>92</v>
      </c>
      <c r="B33" s="1" t="s">
        <v>421</v>
      </c>
      <c r="C33" s="237">
        <f>INDEX(Guide_Rail_Table,Guide_Rail_Type,10)*1000</f>
        <v>11800</v>
      </c>
      <c r="D33" s="229" t="s">
        <v>325</v>
      </c>
    </row>
    <row r="34" spans="1:5" ht="17.399999999999999">
      <c r="A34" s="5" t="s">
        <v>93</v>
      </c>
      <c r="B34" s="1" t="s">
        <v>22</v>
      </c>
      <c r="C34" s="239">
        <f>INDEX(Guide_Rail_Table,Guide_Rail_Type,12)*10</f>
        <v>18.3</v>
      </c>
      <c r="D34" s="229" t="s">
        <v>250</v>
      </c>
    </row>
    <row r="35" spans="1:5" ht="17.399999999999999">
      <c r="A35" s="5" t="s">
        <v>94</v>
      </c>
      <c r="B35" s="1" t="s">
        <v>82</v>
      </c>
      <c r="C35" s="239">
        <f>L/i</f>
        <v>109.2896174863388</v>
      </c>
      <c r="D35" s="229" t="s">
        <v>259</v>
      </c>
    </row>
    <row r="36" spans="1:5" ht="18" thickBot="1">
      <c r="A36" s="8" t="s">
        <v>95</v>
      </c>
      <c r="B36" s="9" t="s">
        <v>82</v>
      </c>
      <c r="C36" s="240">
        <f>VLOOKUP($C$35,Omega!$A$3:$L$25,2+INT($C$35-INT($C$35/10)*10))+(VLOOKUP(INT($C$35)+1,Omega!$A$3:$L$25,2+INT($C$35+1-INT(($C$35+1)/10)*10))-VLOOKUP($C$35,Omega!$A$3:$L$25,2+INT($C$35-INT($C$35/10)*10)))*($C$35-INT($C$35))</f>
        <v>2.0957923497267759</v>
      </c>
      <c r="D36" s="231" t="s">
        <v>415</v>
      </c>
      <c r="E36" s="20"/>
    </row>
    <row r="37" spans="1:5" ht="7.5" customHeight="1" thickBot="1">
      <c r="A37" s="5"/>
      <c r="C37" s="239"/>
      <c r="E37" s="20"/>
    </row>
    <row r="38" spans="1:5" ht="15">
      <c r="A38" s="418" t="s">
        <v>224</v>
      </c>
      <c r="B38" s="419"/>
      <c r="C38" s="419"/>
      <c r="D38" s="420"/>
    </row>
    <row r="39" spans="1:5" ht="17.399999999999999">
      <c r="A39" s="21" t="s">
        <v>97</v>
      </c>
      <c r="C39" s="241"/>
      <c r="D39" s="229"/>
    </row>
    <row r="40" spans="1:5" ht="19.8">
      <c r="A40" s="5" t="s">
        <v>98</v>
      </c>
      <c r="B40" s="1" t="s">
        <v>45</v>
      </c>
      <c r="C40" s="242">
        <f>K1.*gn*(Q+P)/n</f>
        <v>20601</v>
      </c>
      <c r="D40" s="229" t="s">
        <v>326</v>
      </c>
    </row>
    <row r="41" spans="1:5" ht="19.8">
      <c r="A41" s="194" t="s">
        <v>99</v>
      </c>
      <c r="B41" s="195" t="s">
        <v>417</v>
      </c>
      <c r="C41" s="243">
        <f>(Fk+(K3.*M))*ω/A</f>
        <v>27.500266367338412</v>
      </c>
      <c r="D41" s="232" t="s">
        <v>327</v>
      </c>
      <c r="E41" s="22"/>
    </row>
    <row r="42" spans="1:5" ht="17.399999999999999">
      <c r="A42" s="21" t="s">
        <v>100</v>
      </c>
      <c r="C42" s="241"/>
      <c r="D42" s="229"/>
    </row>
    <row r="43" spans="1:5" ht="17.399999999999999">
      <c r="A43" s="5" t="s">
        <v>101</v>
      </c>
      <c r="C43" s="241"/>
      <c r="D43" s="229"/>
    </row>
    <row r="44" spans="1:5" ht="19.8">
      <c r="A44" s="5"/>
      <c r="B44" s="1" t="s">
        <v>45</v>
      </c>
      <c r="C44" s="241">
        <f>K1.*gn*(Q*(XC+DX/8)+P*XP)/(n*h)</f>
        <v>1178.7822580645161</v>
      </c>
      <c r="D44" s="229" t="s">
        <v>328</v>
      </c>
    </row>
    <row r="45" spans="1:5" ht="19.8">
      <c r="A45" s="5"/>
      <c r="B45" s="1" t="s">
        <v>102</v>
      </c>
      <c r="C45" s="244">
        <f>3*C44*L/16</f>
        <v>442043.34677419352</v>
      </c>
      <c r="D45" s="229" t="s">
        <v>329</v>
      </c>
    </row>
    <row r="46" spans="1:5" ht="19.8">
      <c r="A46" s="5"/>
      <c r="B46" s="1" t="s">
        <v>417</v>
      </c>
      <c r="C46" s="241">
        <f>C45/WY</f>
        <v>37.461300574084198</v>
      </c>
      <c r="D46" s="229" t="s">
        <v>330</v>
      </c>
    </row>
    <row r="47" spans="1:5" ht="19.8">
      <c r="A47" s="241">
        <f>YP</f>
        <v>0</v>
      </c>
      <c r="B47" s="1" t="s">
        <v>45</v>
      </c>
      <c r="C47" s="241">
        <f>K1.*gn*(Q*YC+P*YP)/(n/2*h)</f>
        <v>0</v>
      </c>
      <c r="D47" s="229" t="s">
        <v>331</v>
      </c>
    </row>
    <row r="48" spans="1:5" ht="19.8">
      <c r="A48" s="5"/>
      <c r="B48" s="1" t="s">
        <v>102</v>
      </c>
      <c r="C48" s="244">
        <f>3*C47*L/16</f>
        <v>0</v>
      </c>
      <c r="D48" s="229" t="s">
        <v>332</v>
      </c>
    </row>
    <row r="49" spans="1:4" ht="19.8">
      <c r="A49" s="5"/>
      <c r="B49" s="1" t="s">
        <v>417</v>
      </c>
      <c r="C49" s="241">
        <f>C48/WX</f>
        <v>0</v>
      </c>
      <c r="D49" s="229" t="s">
        <v>333</v>
      </c>
    </row>
    <row r="50" spans="1:4" ht="17.399999999999999">
      <c r="A50" s="5" t="s">
        <v>103</v>
      </c>
      <c r="C50" s="241"/>
      <c r="D50" s="229"/>
    </row>
    <row r="51" spans="1:4" ht="19.8">
      <c r="A51" s="377">
        <f>205-C51</f>
        <v>167.53869942591581</v>
      </c>
      <c r="B51" s="1" t="s">
        <v>417</v>
      </c>
      <c r="C51" s="241">
        <f>C49+C46</f>
        <v>37.461300574084198</v>
      </c>
      <c r="D51" s="229" t="s">
        <v>334</v>
      </c>
    </row>
    <row r="52" spans="1:4" ht="19.8">
      <c r="A52" s="377">
        <f t="shared" ref="A52:A55" si="0">205-C52</f>
        <v>154.41704337496037</v>
      </c>
      <c r="B52" s="1" t="s">
        <v>417</v>
      </c>
      <c r="C52" s="241">
        <f>C51+(Fk+(K3.*M))/A</f>
        <v>50.582956625039614</v>
      </c>
      <c r="D52" s="229" t="s">
        <v>343</v>
      </c>
    </row>
    <row r="53" spans="1:4" ht="19.8">
      <c r="A53" s="377">
        <f t="shared" si="0"/>
        <v>143.7845631159858</v>
      </c>
      <c r="B53" s="1" t="s">
        <v>417</v>
      </c>
      <c r="C53" s="241">
        <f>(C51*0.9)+σk</f>
        <v>61.215436884014188</v>
      </c>
      <c r="D53" s="229" t="s">
        <v>335</v>
      </c>
    </row>
    <row r="54" spans="1:4" ht="17.399999999999999">
      <c r="A54" s="5" t="s">
        <v>104</v>
      </c>
      <c r="C54" s="241"/>
      <c r="D54" s="229"/>
    </row>
    <row r="55" spans="1:4" ht="19.8">
      <c r="A55" s="377">
        <f t="shared" si="0"/>
        <v>183.19252822580646</v>
      </c>
      <c r="B55" s="1" t="s">
        <v>417</v>
      </c>
      <c r="C55" s="241">
        <f>1.85*C44/c.^2</f>
        <v>21.807471774193552</v>
      </c>
      <c r="D55" s="229" t="s">
        <v>336</v>
      </c>
    </row>
    <row r="56" spans="1:4" ht="17.399999999999999">
      <c r="A56" s="5" t="s">
        <v>105</v>
      </c>
      <c r="C56" s="241"/>
      <c r="D56" s="229"/>
    </row>
    <row r="57" spans="1:4" ht="19.8">
      <c r="A57" s="62">
        <f>5-C57</f>
        <v>3.7502308544693426</v>
      </c>
      <c r="B57" s="1" t="s">
        <v>22</v>
      </c>
      <c r="C57" s="241">
        <f>0.7*C44*L^3/(48*E*IY)</f>
        <v>1.2497691455306574</v>
      </c>
      <c r="D57" s="229" t="s">
        <v>337</v>
      </c>
    </row>
    <row r="58" spans="1:4" ht="19.8">
      <c r="A58" s="62">
        <f>5-C58</f>
        <v>5</v>
      </c>
      <c r="B58" s="1" t="s">
        <v>22</v>
      </c>
      <c r="C58" s="245">
        <f>0.7*C47*L^3/(48*E*IX)</f>
        <v>0</v>
      </c>
      <c r="D58" s="229" t="s">
        <v>338</v>
      </c>
    </row>
    <row r="59" spans="1:4" ht="8.25" customHeight="1">
      <c r="A59" s="23"/>
      <c r="C59" s="245"/>
      <c r="D59" s="229"/>
    </row>
    <row r="60" spans="1:4" ht="17.399999999999999">
      <c r="A60" s="124" t="s">
        <v>106</v>
      </c>
      <c r="B60" s="125"/>
      <c r="C60" s="246"/>
      <c r="D60" s="233" t="s">
        <v>163</v>
      </c>
    </row>
    <row r="61" spans="1:4" ht="17.399999999999999">
      <c r="A61" s="5" t="s">
        <v>101</v>
      </c>
      <c r="C61" s="241"/>
      <c r="D61" s="229"/>
    </row>
    <row r="62" spans="1:4" ht="19.8">
      <c r="A62" s="5"/>
      <c r="B62" s="1" t="s">
        <v>45</v>
      </c>
      <c r="C62" s="241">
        <f>K1.*gn*(Q*XC+P*XP)/(n*h)</f>
        <v>348.09677419354841</v>
      </c>
      <c r="D62" s="229" t="s">
        <v>339</v>
      </c>
    </row>
    <row r="63" spans="1:4" ht="19.8">
      <c r="A63" s="5"/>
      <c r="B63" s="1" t="s">
        <v>102</v>
      </c>
      <c r="C63" s="244">
        <f>3*C62*L/16</f>
        <v>130536.29032258067</v>
      </c>
      <c r="D63" s="229" t="s">
        <v>329</v>
      </c>
    </row>
    <row r="64" spans="1:4" ht="19.8">
      <c r="A64" s="5"/>
      <c r="B64" s="1" t="s">
        <v>417</v>
      </c>
      <c r="C64" s="241">
        <f>C63/WY</f>
        <v>11.062397484964464</v>
      </c>
      <c r="D64" s="229" t="s">
        <v>330</v>
      </c>
    </row>
    <row r="65" spans="1:4" ht="19.8">
      <c r="A65" s="5"/>
      <c r="B65" s="1" t="s">
        <v>45</v>
      </c>
      <c r="C65" s="241">
        <f>K1.*gn*(Q*(YC+DY/8)+P*YP)/(n/2*h)</f>
        <v>870.24193548387098</v>
      </c>
      <c r="D65" s="229" t="s">
        <v>340</v>
      </c>
    </row>
    <row r="66" spans="1:4" ht="19.8">
      <c r="A66" s="5"/>
      <c r="B66" s="1" t="s">
        <v>102</v>
      </c>
      <c r="C66" s="244">
        <f>3*C65*L/16</f>
        <v>326340.72580645158</v>
      </c>
      <c r="D66" s="229" t="s">
        <v>332</v>
      </c>
    </row>
    <row r="67" spans="1:4" ht="19.8">
      <c r="A67" s="5"/>
      <c r="B67" s="1" t="s">
        <v>417</v>
      </c>
      <c r="C67" s="241">
        <f>C66/WX</f>
        <v>22.901103565365023</v>
      </c>
      <c r="D67" s="229" t="s">
        <v>333</v>
      </c>
    </row>
    <row r="68" spans="1:4" ht="17.399999999999999">
      <c r="A68" s="5" t="s">
        <v>103</v>
      </c>
      <c r="C68" s="241"/>
      <c r="D68" s="229"/>
    </row>
    <row r="69" spans="1:4" ht="19.8">
      <c r="A69" s="377">
        <f>205-C69</f>
        <v>171.03649894967052</v>
      </c>
      <c r="B69" s="1" t="s">
        <v>417</v>
      </c>
      <c r="C69" s="241">
        <f>C67+C64</f>
        <v>33.963501050329484</v>
      </c>
      <c r="D69" s="229" t="s">
        <v>334</v>
      </c>
    </row>
    <row r="70" spans="1:4" ht="19.8">
      <c r="A70" s="377">
        <f t="shared" ref="A70:A73" si="1">205-C70</f>
        <v>157.91484289871511</v>
      </c>
      <c r="B70" s="1" t="s">
        <v>417</v>
      </c>
      <c r="C70" s="241">
        <f>C69+(Fk+(K3.*M))/A</f>
        <v>47.085157101284899</v>
      </c>
      <c r="D70" s="229" t="s">
        <v>343</v>
      </c>
    </row>
    <row r="71" spans="1:4" ht="19.8">
      <c r="A71" s="377">
        <f t="shared" si="1"/>
        <v>146.93258268736506</v>
      </c>
      <c r="B71" s="1" t="s">
        <v>417</v>
      </c>
      <c r="C71" s="241">
        <f>(C69*0.9)+σk</f>
        <v>58.067417312634944</v>
      </c>
      <c r="D71" s="229" t="s">
        <v>341</v>
      </c>
    </row>
    <row r="72" spans="1:4" ht="17.399999999999999">
      <c r="A72" s="5" t="s">
        <v>104</v>
      </c>
      <c r="C72" s="241"/>
      <c r="D72" s="229"/>
    </row>
    <row r="73" spans="1:4" ht="19.8">
      <c r="A73" s="377">
        <f t="shared" si="1"/>
        <v>198.56020967741935</v>
      </c>
      <c r="B73" s="1" t="s">
        <v>417</v>
      </c>
      <c r="C73" s="241">
        <f>1.85*C62/c.^2</f>
        <v>6.4397903225806461</v>
      </c>
      <c r="D73" s="229" t="s">
        <v>336</v>
      </c>
    </row>
    <row r="74" spans="1:4" ht="17.399999999999999">
      <c r="A74" s="5" t="s">
        <v>105</v>
      </c>
      <c r="C74" s="241"/>
      <c r="D74" s="229"/>
    </row>
    <row r="75" spans="1:4" ht="19.8">
      <c r="A75" s="62">
        <f>5-C75</f>
        <v>4.6309406550110808</v>
      </c>
      <c r="B75" s="1" t="s">
        <v>22</v>
      </c>
      <c r="C75" s="241">
        <f>0.7*C62*L^3/(48*E*IY)</f>
        <v>0.36905934498891896</v>
      </c>
      <c r="D75" s="229" t="s">
        <v>337</v>
      </c>
    </row>
    <row r="76" spans="1:4" ht="20.399999999999999" thickBot="1">
      <c r="A76" s="123">
        <f>5-C76</f>
        <v>4.187722207769685</v>
      </c>
      <c r="B76" s="9" t="s">
        <v>22</v>
      </c>
      <c r="C76" s="247">
        <f>0.7*C65*L^3/(48*E*IX)</f>
        <v>0.81227779223031549</v>
      </c>
      <c r="D76" s="231" t="s">
        <v>338</v>
      </c>
    </row>
    <row r="77" spans="1:4" ht="6.75" customHeight="1" thickBot="1">
      <c r="A77" s="24"/>
      <c r="C77" s="245"/>
    </row>
    <row r="78" spans="1:4" ht="15">
      <c r="A78" s="418" t="s">
        <v>225</v>
      </c>
      <c r="B78" s="419"/>
      <c r="C78" s="419"/>
      <c r="D78" s="420"/>
    </row>
    <row r="79" spans="1:4" ht="17.399999999999999">
      <c r="A79" s="21" t="s">
        <v>100</v>
      </c>
      <c r="C79" s="241"/>
      <c r="D79" s="229"/>
    </row>
    <row r="80" spans="1:4" ht="17.399999999999999">
      <c r="A80" s="5" t="s">
        <v>101</v>
      </c>
      <c r="C80" s="241"/>
      <c r="D80" s="234"/>
    </row>
    <row r="81" spans="1:4" ht="19.8">
      <c r="A81" s="5"/>
      <c r="B81" s="1" t="s">
        <v>45</v>
      </c>
      <c r="C81" s="241">
        <f>K2.*gn*(Q*(XC+DX/8-XS)+P*(XP-XS))/(n*h)</f>
        <v>1178.7822580645161</v>
      </c>
      <c r="D81" s="234" t="s">
        <v>516</v>
      </c>
    </row>
    <row r="82" spans="1:4" ht="19.8">
      <c r="A82" s="5"/>
      <c r="B82" s="1" t="s">
        <v>102</v>
      </c>
      <c r="C82" s="244">
        <f>3*C81*L/16</f>
        <v>442043.34677419352</v>
      </c>
      <c r="D82" s="229" t="s">
        <v>329</v>
      </c>
    </row>
    <row r="83" spans="1:4" ht="19.8">
      <c r="A83" s="5"/>
      <c r="B83" s="1" t="s">
        <v>417</v>
      </c>
      <c r="C83" s="241">
        <f>C82/WY</f>
        <v>37.461300574084198</v>
      </c>
      <c r="D83" s="229" t="s">
        <v>330</v>
      </c>
    </row>
    <row r="84" spans="1:4" ht="19.8">
      <c r="A84" s="5"/>
      <c r="B84" s="1" t="s">
        <v>45</v>
      </c>
      <c r="C84" s="241">
        <f>K2.*gn*(Q*(YC-YS)+P*(YP-YS))/(n/2*h)</f>
        <v>0</v>
      </c>
      <c r="D84" s="234" t="s">
        <v>517</v>
      </c>
    </row>
    <row r="85" spans="1:4" ht="19.8">
      <c r="A85" s="5"/>
      <c r="B85" s="1" t="s">
        <v>102</v>
      </c>
      <c r="C85" s="244">
        <f>3*C84*L/16</f>
        <v>0</v>
      </c>
      <c r="D85" s="229" t="s">
        <v>332</v>
      </c>
    </row>
    <row r="86" spans="1:4" ht="19.8">
      <c r="A86" s="5"/>
      <c r="B86" s="1" t="s">
        <v>417</v>
      </c>
      <c r="C86" s="241">
        <f>C85/WX</f>
        <v>0</v>
      </c>
      <c r="D86" s="229" t="s">
        <v>333</v>
      </c>
    </row>
    <row r="87" spans="1:4" ht="17.399999999999999">
      <c r="A87" s="5" t="s">
        <v>103</v>
      </c>
      <c r="C87" s="241"/>
      <c r="D87" s="229"/>
    </row>
    <row r="88" spans="1:4" ht="19.8">
      <c r="A88" s="376">
        <f>165-C88</f>
        <v>127.53869942591581</v>
      </c>
      <c r="B88" s="1" t="s">
        <v>417</v>
      </c>
      <c r="C88" s="241">
        <f>C86+C83</f>
        <v>37.461300574084198</v>
      </c>
      <c r="D88" s="229" t="s">
        <v>334</v>
      </c>
    </row>
    <row r="89" spans="1:4" ht="19.8">
      <c r="A89" s="376">
        <f>165-C89</f>
        <v>127.53869942591581</v>
      </c>
      <c r="B89" s="1" t="s">
        <v>417</v>
      </c>
      <c r="C89" s="241">
        <f>C88+(K3.*M)/A</f>
        <v>37.461300574084198</v>
      </c>
      <c r="D89" s="229" t="s">
        <v>343</v>
      </c>
    </row>
    <row r="90" spans="1:4" ht="17.399999999999999">
      <c r="A90" s="5" t="s">
        <v>104</v>
      </c>
      <c r="C90" s="241"/>
      <c r="D90" s="229"/>
    </row>
    <row r="91" spans="1:4" ht="19.8">
      <c r="A91" s="376">
        <f>165-C91</f>
        <v>143.19252822580646</v>
      </c>
      <c r="B91" s="1" t="s">
        <v>417</v>
      </c>
      <c r="C91" s="241">
        <f>1.85*C81/c.^2</f>
        <v>21.807471774193552</v>
      </c>
      <c r="D91" s="229" t="s">
        <v>336</v>
      </c>
    </row>
    <row r="92" spans="1:4" ht="17.399999999999999">
      <c r="A92" s="5" t="s">
        <v>105</v>
      </c>
      <c r="C92" s="241"/>
      <c r="D92" s="229"/>
    </row>
    <row r="93" spans="1:4" ht="19.8">
      <c r="A93" s="62">
        <f>5-C93</f>
        <v>3.7502308544693426</v>
      </c>
      <c r="B93" s="1" t="s">
        <v>22</v>
      </c>
      <c r="C93" s="241">
        <f>0.7*C81*L^3/(48*E*IY)</f>
        <v>1.2497691455306574</v>
      </c>
      <c r="D93" s="229" t="s">
        <v>337</v>
      </c>
    </row>
    <row r="94" spans="1:4" ht="19.8">
      <c r="A94" s="62">
        <f>5-C94</f>
        <v>5</v>
      </c>
      <c r="B94" s="1" t="s">
        <v>22</v>
      </c>
      <c r="C94" s="245">
        <f>0.7*C84*L^3/(48*E*IX)</f>
        <v>0</v>
      </c>
      <c r="D94" s="229" t="s">
        <v>338</v>
      </c>
    </row>
    <row r="95" spans="1:4" ht="10.5" customHeight="1">
      <c r="A95" s="24"/>
      <c r="C95" s="245"/>
      <c r="D95" s="229"/>
    </row>
    <row r="96" spans="1:4" ht="17.399999999999999">
      <c r="A96" s="124" t="s">
        <v>106</v>
      </c>
      <c r="B96" s="125"/>
      <c r="C96" s="248"/>
      <c r="D96" s="233"/>
    </row>
    <row r="97" spans="1:4" ht="17.399999999999999">
      <c r="A97" s="5" t="s">
        <v>101</v>
      </c>
      <c r="C97" s="241"/>
      <c r="D97" s="234"/>
    </row>
    <row r="98" spans="1:4" ht="19.8">
      <c r="A98" s="5"/>
      <c r="B98" s="1" t="s">
        <v>45</v>
      </c>
      <c r="C98" s="241">
        <f>K2.*gn*(Q*(XC-XS)+P*(XP-XS))/(n*h)</f>
        <v>348.09677419354841</v>
      </c>
      <c r="D98" s="234" t="s">
        <v>518</v>
      </c>
    </row>
    <row r="99" spans="1:4" ht="19.8">
      <c r="A99" s="5"/>
      <c r="B99" s="1" t="s">
        <v>102</v>
      </c>
      <c r="C99" s="244">
        <f>3*C98*L/16</f>
        <v>130536.29032258067</v>
      </c>
      <c r="D99" s="229" t="s">
        <v>329</v>
      </c>
    </row>
    <row r="100" spans="1:4" ht="19.8">
      <c r="A100" s="5"/>
      <c r="B100" s="1" t="s">
        <v>417</v>
      </c>
      <c r="C100" s="241">
        <f>C99/WY</f>
        <v>11.062397484964464</v>
      </c>
      <c r="D100" s="229" t="s">
        <v>330</v>
      </c>
    </row>
    <row r="101" spans="1:4" ht="19.8">
      <c r="A101" s="5"/>
      <c r="B101" s="1" t="s">
        <v>45</v>
      </c>
      <c r="C101" s="241">
        <f>K2.*gn*(Q*(YC+DY/8-YS)+P*(YP-YS))/(n/2*h)</f>
        <v>870.24193548387098</v>
      </c>
      <c r="D101" s="234" t="s">
        <v>519</v>
      </c>
    </row>
    <row r="102" spans="1:4" ht="19.8">
      <c r="A102" s="5"/>
      <c r="B102" s="1" t="s">
        <v>102</v>
      </c>
      <c r="C102" s="244">
        <f>3*C101*L/16</f>
        <v>326340.72580645158</v>
      </c>
      <c r="D102" s="229" t="s">
        <v>332</v>
      </c>
    </row>
    <row r="103" spans="1:4" ht="19.8">
      <c r="A103" s="5"/>
      <c r="B103" s="1" t="s">
        <v>417</v>
      </c>
      <c r="C103" s="241">
        <f>C102/WX</f>
        <v>22.901103565365023</v>
      </c>
      <c r="D103" s="229" t="s">
        <v>333</v>
      </c>
    </row>
    <row r="104" spans="1:4" ht="17.399999999999999">
      <c r="A104" s="5" t="s">
        <v>103</v>
      </c>
      <c r="C104" s="241"/>
      <c r="D104" s="229"/>
    </row>
    <row r="105" spans="1:4" ht="19.8">
      <c r="A105" s="376">
        <f>165-C105</f>
        <v>131.03649894967052</v>
      </c>
      <c r="B105" s="1" t="s">
        <v>417</v>
      </c>
      <c r="C105" s="241">
        <f>C103+C100</f>
        <v>33.963501050329484</v>
      </c>
      <c r="D105" s="229" t="s">
        <v>334</v>
      </c>
    </row>
    <row r="106" spans="1:4" ht="19.8">
      <c r="A106" s="376">
        <f>165-C106</f>
        <v>131.03649894967052</v>
      </c>
      <c r="B106" s="1" t="s">
        <v>417</v>
      </c>
      <c r="C106" s="241">
        <f>C105+(K3.*M)/A</f>
        <v>33.963501050329484</v>
      </c>
      <c r="D106" s="229" t="s">
        <v>343</v>
      </c>
    </row>
    <row r="107" spans="1:4" ht="17.399999999999999">
      <c r="A107" s="5" t="s">
        <v>104</v>
      </c>
      <c r="C107" s="241"/>
      <c r="D107" s="229"/>
    </row>
    <row r="108" spans="1:4" ht="19.8">
      <c r="A108" s="376">
        <f>165-C108</f>
        <v>158.56020967741935</v>
      </c>
      <c r="B108" s="1" t="s">
        <v>417</v>
      </c>
      <c r="C108" s="241">
        <f>1.85*C98/c.^2</f>
        <v>6.4397903225806461</v>
      </c>
      <c r="D108" s="229" t="s">
        <v>336</v>
      </c>
    </row>
    <row r="109" spans="1:4" ht="17.399999999999999">
      <c r="A109" s="5" t="s">
        <v>105</v>
      </c>
      <c r="C109" s="241"/>
      <c r="D109" s="229"/>
    </row>
    <row r="110" spans="1:4" ht="19.8">
      <c r="A110" s="62">
        <f>5-C110</f>
        <v>4.6309406550110808</v>
      </c>
      <c r="B110" s="1" t="s">
        <v>22</v>
      </c>
      <c r="C110" s="241">
        <f>0.7*C98*L^3/(48*E*IY)</f>
        <v>0.36905934498891896</v>
      </c>
      <c r="D110" s="229" t="s">
        <v>337</v>
      </c>
    </row>
    <row r="111" spans="1:4" ht="20.399999999999999" thickBot="1">
      <c r="A111" s="123">
        <f>5-C111</f>
        <v>4.187722207769685</v>
      </c>
      <c r="B111" s="9" t="s">
        <v>22</v>
      </c>
      <c r="C111" s="247">
        <f>0.7*C101*L^3/(48*E*IX)</f>
        <v>0.81227779223031549</v>
      </c>
      <c r="D111" s="231" t="s">
        <v>338</v>
      </c>
    </row>
    <row r="112" spans="1:4" s="421" customFormat="1" ht="6" customHeight="1" thickBot="1">
      <c r="B112" s="422"/>
      <c r="C112" s="422"/>
      <c r="D112" s="422"/>
    </row>
    <row r="113" spans="1:4" ht="15">
      <c r="A113" s="418" t="s">
        <v>226</v>
      </c>
      <c r="B113" s="419"/>
      <c r="C113" s="419"/>
      <c r="D113" s="420"/>
    </row>
    <row r="114" spans="1:4" ht="17.399999999999999">
      <c r="A114" s="5" t="s">
        <v>101</v>
      </c>
      <c r="C114" s="241"/>
      <c r="D114" s="229"/>
    </row>
    <row r="115" spans="1:4" ht="19.8">
      <c r="A115" s="5"/>
      <c r="B115" s="1" t="s">
        <v>45</v>
      </c>
      <c r="C115" s="244">
        <f>(P*gn*(XP-XS)+FS*(Xi-XS))/(n*h)</f>
        <v>901.88709677419365</v>
      </c>
      <c r="D115" s="229" t="s">
        <v>342</v>
      </c>
    </row>
    <row r="116" spans="1:4" ht="19.8">
      <c r="A116" s="5"/>
      <c r="B116" s="1" t="s">
        <v>102</v>
      </c>
      <c r="C116" s="244">
        <f>3*C115*L/16</f>
        <v>338207.66129032261</v>
      </c>
      <c r="D116" s="229" t="s">
        <v>329</v>
      </c>
    </row>
    <row r="117" spans="1:4" ht="19.8">
      <c r="A117" s="5"/>
      <c r="B117" s="1" t="s">
        <v>417</v>
      </c>
      <c r="C117" s="241">
        <f>C116/WY</f>
        <v>28.661666211044288</v>
      </c>
      <c r="D117" s="229" t="s">
        <v>330</v>
      </c>
    </row>
    <row r="118" spans="1:4" ht="19.8">
      <c r="A118" s="5"/>
      <c r="B118" s="1" t="s">
        <v>45</v>
      </c>
      <c r="C118" s="241">
        <f>(P*gn*(YP-YS)+FS*(Yi-YS))/((C10/2)*C9)</f>
        <v>151.8967741935484</v>
      </c>
      <c r="D118" s="229" t="s">
        <v>416</v>
      </c>
    </row>
    <row r="119" spans="1:4" ht="19.8">
      <c r="A119" s="5"/>
      <c r="B119" s="1" t="s">
        <v>102</v>
      </c>
      <c r="C119" s="244">
        <f>3*C118*L/16</f>
        <v>56961.290322580651</v>
      </c>
      <c r="D119" s="229" t="s">
        <v>332</v>
      </c>
    </row>
    <row r="120" spans="1:4" ht="19.8">
      <c r="A120" s="5"/>
      <c r="B120" s="1" t="s">
        <v>417</v>
      </c>
      <c r="C120" s="241">
        <f>C119/WX</f>
        <v>3.9972835314091686</v>
      </c>
      <c r="D120" s="229" t="s">
        <v>333</v>
      </c>
    </row>
    <row r="121" spans="1:4" ht="17.399999999999999">
      <c r="A121" s="5" t="s">
        <v>103</v>
      </c>
      <c r="C121" s="241"/>
      <c r="D121" s="229"/>
    </row>
    <row r="122" spans="1:4" ht="19.8">
      <c r="A122" s="376">
        <f>165-C122</f>
        <v>132.34105025754656</v>
      </c>
      <c r="B122" s="1" t="s">
        <v>417</v>
      </c>
      <c r="C122" s="241">
        <f>C120+C117</f>
        <v>32.658949742453458</v>
      </c>
      <c r="D122" s="229" t="s">
        <v>334</v>
      </c>
    </row>
    <row r="123" spans="1:4" ht="19.8">
      <c r="A123" s="376">
        <f>165-C123</f>
        <v>119.21939420659112</v>
      </c>
      <c r="B123" s="1" t="s">
        <v>417</v>
      </c>
      <c r="C123" s="241">
        <f>C122+(Fk+K3.*M)/A</f>
        <v>45.780605793408874</v>
      </c>
      <c r="D123" s="229" t="s">
        <v>343</v>
      </c>
    </row>
    <row r="124" spans="1:4" ht="17.399999999999999">
      <c r="A124" s="5" t="s">
        <v>104</v>
      </c>
      <c r="C124" s="241"/>
      <c r="D124" s="229"/>
    </row>
    <row r="125" spans="1:4" ht="19.8">
      <c r="A125" s="376">
        <f>165-C125</f>
        <v>148.31508870967741</v>
      </c>
      <c r="B125" s="1" t="s">
        <v>417</v>
      </c>
      <c r="C125" s="241">
        <f>1.85*C115/c.^2</f>
        <v>16.684911290322585</v>
      </c>
      <c r="D125" s="229" t="s">
        <v>336</v>
      </c>
    </row>
    <row r="126" spans="1:4" ht="17.399999999999999">
      <c r="A126" s="5" t="s">
        <v>105</v>
      </c>
      <c r="C126" s="241"/>
      <c r="D126" s="229"/>
    </row>
    <row r="127" spans="1:4" ht="19.8">
      <c r="A127" s="62">
        <f>5-C127</f>
        <v>4.0438007879832556</v>
      </c>
      <c r="B127" s="1" t="s">
        <v>22</v>
      </c>
      <c r="C127" s="241">
        <f>0.7*C115*L^3/(48*E*IY)</f>
        <v>0.95619921201674474</v>
      </c>
      <c r="D127" s="229" t="s">
        <v>337</v>
      </c>
    </row>
    <row r="128" spans="1:4" ht="20.399999999999999" thickBot="1">
      <c r="A128" s="123">
        <f>5-C128</f>
        <v>4.8582206035379816</v>
      </c>
      <c r="B128" s="9" t="s">
        <v>22</v>
      </c>
      <c r="C128" s="247">
        <f>0.7*C118*L^3/(48*E*IX)</f>
        <v>0.14177939646201873</v>
      </c>
      <c r="D128" s="231" t="s">
        <v>338</v>
      </c>
    </row>
    <row r="129" spans="3:4" ht="21" customHeight="1">
      <c r="C129" s="249"/>
      <c r="D129" s="235"/>
    </row>
  </sheetData>
  <sheetProtection password="F946" sheet="1" objects="1" scenarios="1" selectLockedCells="1" selectUnlockedCells="1"/>
  <dataConsolidate/>
  <customSheetViews>
    <customSheetView guid="{0B2838C1-64E2-4766-B82E-FE301CB42C7D}" scale="110" showGridLines="0" fitToPage="1" topLeftCell="A5">
      <selection activeCell="D26" sqref="D26"/>
      <pageMargins left="0.39370078740157483" right="0.39370078740157483" top="0.39370078740157483" bottom="0.39370078740157483" header="0.31496062992125984" footer="0.31496062992125984"/>
      <printOptions horizontalCentered="1"/>
      <pageSetup paperSize="9" scale="78" fitToHeight="2" orientation="portrait" r:id="rId1"/>
    </customSheetView>
  </customSheetViews>
  <mergeCells count="5">
    <mergeCell ref="A113:D113"/>
    <mergeCell ref="A112:XFD112"/>
    <mergeCell ref="A1:D1"/>
    <mergeCell ref="A38:D38"/>
    <mergeCell ref="A78:D78"/>
  </mergeCells>
  <printOptions horizontalCentered="1"/>
  <pageMargins left="0.39370078740157483" right="0.39370078740157483" top="1.5748031496062993" bottom="0.27559055118110237" header="0" footer="0.19685039370078741"/>
  <pageSetup paperSize="9" scale="74" fitToHeight="0" orientation="portrait" r:id="rId2"/>
  <rowBreaks count="2" manualBreakCount="2">
    <brk id="37" max="3" man="1"/>
    <brk id="77" max="3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A1:H152"/>
  <sheetViews>
    <sheetView rightToLeft="1" showRuler="0" view="pageBreakPreview" zoomScale="110" zoomScaleNormal="140" zoomScaleSheetLayoutView="110" zoomScalePageLayoutView="140" workbookViewId="0">
      <selection activeCell="C144" sqref="C144"/>
    </sheetView>
  </sheetViews>
  <sheetFormatPr defaultColWidth="8.83203125" defaultRowHeight="21" customHeight="1"/>
  <cols>
    <col min="1" max="1" width="38.6640625" style="71" customWidth="1"/>
    <col min="2" max="2" width="6.9140625" style="73" customWidth="1"/>
    <col min="3" max="3" width="9.4140625" style="225" customWidth="1"/>
    <col min="4" max="4" width="47.4140625" style="226" customWidth="1"/>
    <col min="5" max="16384" width="8.83203125" style="7"/>
  </cols>
  <sheetData>
    <row r="1" spans="1:7" ht="24" customHeight="1" thickBot="1">
      <c r="A1" s="433" t="s">
        <v>245</v>
      </c>
      <c r="B1" s="434"/>
      <c r="C1" s="434"/>
      <c r="D1" s="435"/>
    </row>
    <row r="2" spans="1:7" s="64" customFormat="1" ht="18" customHeight="1" thickBot="1">
      <c r="A2" s="117" t="s">
        <v>1</v>
      </c>
      <c r="B2" s="118" t="s">
        <v>2</v>
      </c>
      <c r="C2" s="119" t="s">
        <v>3</v>
      </c>
      <c r="D2" s="262" t="s">
        <v>4</v>
      </c>
    </row>
    <row r="3" spans="1:7" s="64" customFormat="1" ht="17.25" customHeight="1">
      <c r="A3" s="114" t="s">
        <v>80</v>
      </c>
      <c r="B3" s="113"/>
      <c r="C3" s="115"/>
      <c r="D3" s="116"/>
    </row>
    <row r="4" spans="1:7" s="65" customFormat="1" ht="15">
      <c r="A4" s="5" t="s">
        <v>55</v>
      </c>
      <c r="B4" s="335" t="s">
        <v>82</v>
      </c>
      <c r="C4" s="336" t="str">
        <f>INDEX(Rope_Type_Table,Rope_Type,1)</f>
        <v>G-Wolf F819 S-FE</v>
      </c>
      <c r="D4" s="263" t="str">
        <f>Rope_Brand&amp;" - "&amp;Rope</f>
        <v>گوستاو ولف - 8x19 سیل با مغز کنفی</v>
      </c>
      <c r="E4" s="132"/>
    </row>
    <row r="5" spans="1:7" ht="19.8">
      <c r="A5" s="5" t="s">
        <v>57</v>
      </c>
      <c r="B5" s="1" t="s">
        <v>22</v>
      </c>
      <c r="C5" s="250">
        <f>dsr</f>
        <v>13</v>
      </c>
      <c r="D5" s="229" t="s">
        <v>388</v>
      </c>
    </row>
    <row r="6" spans="1:7" s="67" customFormat="1" ht="19.8">
      <c r="A6" s="5" t="s">
        <v>60</v>
      </c>
      <c r="B6" s="1" t="s">
        <v>58</v>
      </c>
      <c r="C6" s="250">
        <f>IF('ورودی ها'!E72="پلیمری",HLOOKUP(dDPcar,PulleyReducedMass,nS-1,TRUE)*iDPcar/5,HLOOKUP(dDPcar,PulleyReducedMass,nS-1,TRUE)*iDPcar)</f>
        <v>0</v>
      </c>
      <c r="D6" s="229" t="s">
        <v>437</v>
      </c>
    </row>
    <row r="7" spans="1:7" s="67" customFormat="1" ht="19.8">
      <c r="A7" s="5" t="s">
        <v>107</v>
      </c>
      <c r="B7" s="1" t="s">
        <v>58</v>
      </c>
      <c r="C7" s="250">
        <f>IF('ورودی ها'!E73="پلیمری",HLOOKUP(dDPcwt,PulleyReducedMass,nS-1,TRUE)*iDPcwt/5,HLOOKUP(dDPcwt,PulleyReducedMass,nS-1,TRUE)*iDPcwt)</f>
        <v>44.152173913043477</v>
      </c>
      <c r="D7" s="229" t="s">
        <v>436</v>
      </c>
    </row>
    <row r="8" spans="1:7" s="67" customFormat="1" ht="19.8">
      <c r="A8" s="5" t="s">
        <v>289</v>
      </c>
      <c r="B8" s="1" t="s">
        <v>58</v>
      </c>
      <c r="C8" s="250">
        <f>IF('ورودی ها'!E74="پلیمری",HLOOKUP(dPcar,PulleyReducedMass,nS-1,TRUE)*iPcar/5,HLOOKUP(dPcar,PulleyReducedMass,nS-1,TRUE)*iPcar)</f>
        <v>0</v>
      </c>
      <c r="D8" s="229" t="s">
        <v>438</v>
      </c>
    </row>
    <row r="9" spans="1:7" s="67" customFormat="1" ht="19.8">
      <c r="A9" s="5" t="s">
        <v>290</v>
      </c>
      <c r="B9" s="1" t="s">
        <v>58</v>
      </c>
      <c r="C9" s="250">
        <f>IF('ورودی ها'!E75="پلیمری",HLOOKUP(dPcwt,PulleyReducedMass,nS-1,TRUE)*iPcwt/5,HLOOKUP(dPcwt,PulleyReducedMass,nS-1,TRUE)*iPcwt)</f>
        <v>0</v>
      </c>
      <c r="D9" s="229" t="s">
        <v>439</v>
      </c>
    </row>
    <row r="10" spans="1:7" s="67" customFormat="1" ht="19.8">
      <c r="A10" s="5" t="s">
        <v>59</v>
      </c>
      <c r="B10" s="1" t="s">
        <v>58</v>
      </c>
      <c r="C10" s="250">
        <f>IF(Comp="ندارد",0,mPTD)</f>
        <v>0</v>
      </c>
      <c r="D10" s="229" t="s">
        <v>440</v>
      </c>
    </row>
    <row r="11" spans="1:7" s="67" customFormat="1" ht="19.8">
      <c r="A11" s="5" t="s">
        <v>108</v>
      </c>
      <c r="B11" s="1" t="s">
        <v>62</v>
      </c>
      <c r="C11" s="250">
        <f>nS</f>
        <v>5</v>
      </c>
      <c r="D11" s="229" t="s">
        <v>362</v>
      </c>
    </row>
    <row r="12" spans="1:7" s="67" customFormat="1" ht="19.8">
      <c r="A12" s="5" t="s">
        <v>109</v>
      </c>
      <c r="B12" s="1" t="s">
        <v>62</v>
      </c>
      <c r="C12" s="250">
        <f>IF(Comp="ندارد",0,nc)</f>
        <v>1</v>
      </c>
      <c r="D12" s="229" t="s">
        <v>365</v>
      </c>
    </row>
    <row r="13" spans="1:7" s="67" customFormat="1" ht="19.8">
      <c r="A13" s="5" t="s">
        <v>64</v>
      </c>
      <c r="B13" s="1" t="s">
        <v>62</v>
      </c>
      <c r="C13" s="251">
        <f>nt</f>
        <v>1</v>
      </c>
      <c r="D13" s="229" t="s">
        <v>363</v>
      </c>
    </row>
    <row r="14" spans="1:7" ht="19.8">
      <c r="A14" s="5" t="s">
        <v>65</v>
      </c>
      <c r="B14" s="1" t="s">
        <v>58</v>
      </c>
      <c r="C14" s="341">
        <f>IF(Rope_Brand="انواع دیگر",VLOOKUP(dsr,Rope_Data_Table,2),VLOOKUP(dsr,Rope_Data_Table,Rope_Type*2))</f>
        <v>0.57899999999999996</v>
      </c>
      <c r="D14" s="229" t="s">
        <v>527</v>
      </c>
    </row>
    <row r="15" spans="1:7" ht="19.8">
      <c r="A15" s="5" t="s">
        <v>231</v>
      </c>
      <c r="B15" s="1" t="s">
        <v>230</v>
      </c>
      <c r="C15" s="340">
        <f>IF(Rope_Brand="انواع دیگر",VLOOKUP(dsr,Rope_Data_Table,3)*0.97,VLOOKUP(dsr,Rope_Data_Table,Rope_Type*2+1))</f>
        <v>80.7</v>
      </c>
      <c r="D15" s="229" t="s">
        <v>389</v>
      </c>
    </row>
    <row r="16" spans="1:7" ht="19.8">
      <c r="A16" s="5" t="s">
        <v>66</v>
      </c>
      <c r="B16" s="1" t="s">
        <v>58</v>
      </c>
      <c r="C16" s="250">
        <f>IF(Comp="ندارد",0,mcr)</f>
        <v>2</v>
      </c>
      <c r="D16" s="229" t="s">
        <v>528</v>
      </c>
      <c r="G16" s="65"/>
    </row>
    <row r="17" spans="1:7" ht="19.8">
      <c r="A17" s="5" t="s">
        <v>67</v>
      </c>
      <c r="B17" s="1" t="s">
        <v>58</v>
      </c>
      <c r="C17" s="250">
        <f>mt</f>
        <v>0.45</v>
      </c>
      <c r="D17" s="229" t="s">
        <v>364</v>
      </c>
    </row>
    <row r="18" spans="1:7" ht="19.8">
      <c r="A18" s="5" t="s">
        <v>110</v>
      </c>
      <c r="B18" s="1" t="s">
        <v>58</v>
      </c>
      <c r="C18" s="252">
        <f>P+q.*Q</f>
        <v>1550</v>
      </c>
      <c r="D18" s="229" t="s">
        <v>390</v>
      </c>
    </row>
    <row r="19" spans="1:7" ht="19.8">
      <c r="A19" s="5" t="s">
        <v>68</v>
      </c>
      <c r="B19" s="1" t="s">
        <v>58</v>
      </c>
      <c r="C19" s="250">
        <f>IF(Comp="ندارد",0,MComp)</f>
        <v>0</v>
      </c>
      <c r="D19" s="229" t="s">
        <v>368</v>
      </c>
      <c r="G19" s="68"/>
    </row>
    <row r="20" spans="1:7" ht="19.8">
      <c r="A20" s="5" t="s">
        <v>69</v>
      </c>
      <c r="B20" s="1" t="s">
        <v>45</v>
      </c>
      <c r="C20" s="250">
        <f>FRCar</f>
        <v>400</v>
      </c>
      <c r="D20" s="229" t="s">
        <v>369</v>
      </c>
      <c r="G20" s="68"/>
    </row>
    <row r="21" spans="1:7" ht="19.8">
      <c r="A21" s="5" t="s">
        <v>70</v>
      </c>
      <c r="B21" s="1" t="s">
        <v>45</v>
      </c>
      <c r="C21" s="250">
        <f>FRCwt</f>
        <v>200</v>
      </c>
      <c r="D21" s="229" t="s">
        <v>370</v>
      </c>
    </row>
    <row r="22" spans="1:7" ht="17.399999999999999">
      <c r="A22" s="5" t="s">
        <v>285</v>
      </c>
      <c r="B22" s="1" t="s">
        <v>71</v>
      </c>
      <c r="C22" s="388">
        <f>H.</f>
        <v>30</v>
      </c>
      <c r="D22" s="229" t="s">
        <v>72</v>
      </c>
    </row>
    <row r="23" spans="1:7" ht="17.399999999999999">
      <c r="A23" s="5" t="s">
        <v>73</v>
      </c>
      <c r="B23" s="1" t="s">
        <v>71</v>
      </c>
      <c r="C23" s="250">
        <f>r.</f>
        <v>1</v>
      </c>
      <c r="D23" s="229" t="s">
        <v>74</v>
      </c>
    </row>
    <row r="24" spans="1:7" ht="17.399999999999999">
      <c r="A24" s="5" t="s">
        <v>75</v>
      </c>
      <c r="B24" s="1" t="s">
        <v>373</v>
      </c>
      <c r="C24" s="250">
        <f>a.</f>
        <v>0.6</v>
      </c>
      <c r="D24" s="229" t="s">
        <v>76</v>
      </c>
    </row>
    <row r="25" spans="1:7" ht="19.8">
      <c r="A25" s="5" t="s">
        <v>291</v>
      </c>
      <c r="B25" s="1" t="s">
        <v>373</v>
      </c>
      <c r="C25" s="250">
        <v>9.81</v>
      </c>
      <c r="D25" s="229" t="s">
        <v>321</v>
      </c>
    </row>
    <row r="26" spans="1:7" ht="19.8">
      <c r="A26" s="5" t="s">
        <v>77</v>
      </c>
      <c r="B26" s="1" t="s">
        <v>22</v>
      </c>
      <c r="C26" s="250">
        <f>Dp</f>
        <v>520</v>
      </c>
      <c r="D26" s="229" t="s">
        <v>391</v>
      </c>
    </row>
    <row r="27" spans="1:7" ht="19.8">
      <c r="A27" s="5" t="s">
        <v>21</v>
      </c>
      <c r="B27" s="1" t="s">
        <v>22</v>
      </c>
      <c r="C27" s="251">
        <f>Dt</f>
        <v>560</v>
      </c>
      <c r="D27" s="229" t="s">
        <v>350</v>
      </c>
    </row>
    <row r="28" spans="1:7" ht="19.8">
      <c r="A28" s="5" t="s">
        <v>296</v>
      </c>
      <c r="B28" s="1" t="s">
        <v>62</v>
      </c>
      <c r="C28" s="250">
        <f>iPcar</f>
        <v>0</v>
      </c>
      <c r="D28" s="229" t="s">
        <v>392</v>
      </c>
    </row>
    <row r="29" spans="1:7" ht="19.8">
      <c r="A29" s="5" t="s">
        <v>292</v>
      </c>
      <c r="B29" s="1" t="s">
        <v>62</v>
      </c>
      <c r="C29" s="250">
        <f>iPcwt</f>
        <v>0</v>
      </c>
      <c r="D29" s="229" t="s">
        <v>393</v>
      </c>
    </row>
    <row r="30" spans="1:7" ht="20.399999999999999">
      <c r="A30" s="5" t="s">
        <v>293</v>
      </c>
      <c r="B30" s="1" t="s">
        <v>62</v>
      </c>
      <c r="C30" s="250">
        <f>iDPcar</f>
        <v>0</v>
      </c>
      <c r="D30" s="264" t="s">
        <v>387</v>
      </c>
    </row>
    <row r="31" spans="1:7" ht="19.8">
      <c r="A31" s="5" t="s">
        <v>294</v>
      </c>
      <c r="B31" s="1" t="s">
        <v>62</v>
      </c>
      <c r="C31" s="250">
        <f>iDPcwt</f>
        <v>1</v>
      </c>
      <c r="D31" s="229" t="s">
        <v>394</v>
      </c>
    </row>
    <row r="32" spans="1:7" ht="17.399999999999999">
      <c r="A32" s="5" t="s">
        <v>235</v>
      </c>
      <c r="B32" s="1" t="s">
        <v>32</v>
      </c>
      <c r="C32" s="250">
        <f>P</f>
        <v>1100</v>
      </c>
      <c r="D32" s="229" t="s">
        <v>33</v>
      </c>
    </row>
    <row r="33" spans="1:8" ht="19.8">
      <c r="A33" s="5" t="s">
        <v>10</v>
      </c>
      <c r="B33" s="1" t="s">
        <v>11</v>
      </c>
      <c r="C33" s="250">
        <f>VCar</f>
        <v>1.75</v>
      </c>
      <c r="D33" s="229" t="s">
        <v>347</v>
      </c>
    </row>
    <row r="34" spans="1:8" ht="20.399999999999999" thickBot="1">
      <c r="A34" s="8" t="s">
        <v>111</v>
      </c>
      <c r="B34" s="9" t="s">
        <v>58</v>
      </c>
      <c r="C34" s="253">
        <f>mt</f>
        <v>0.45</v>
      </c>
      <c r="D34" s="231" t="s">
        <v>529</v>
      </c>
      <c r="G34" s="69"/>
    </row>
    <row r="35" spans="1:8" ht="7.8" customHeight="1" thickBot="1">
      <c r="A35" s="70"/>
      <c r="B35" s="65"/>
      <c r="C35" s="66"/>
      <c r="D35" s="224"/>
    </row>
    <row r="36" spans="1:8" ht="20.25" customHeight="1">
      <c r="A36" s="418" t="s">
        <v>200</v>
      </c>
      <c r="B36" s="419"/>
      <c r="C36" s="419"/>
      <c r="D36" s="420"/>
    </row>
    <row r="37" spans="1:8" ht="15">
      <c r="A37" s="5" t="s">
        <v>23</v>
      </c>
      <c r="B37" s="271"/>
      <c r="C37" s="254" t="str">
        <f>IF(Groove_Type=1, "V","U")</f>
        <v>U</v>
      </c>
      <c r="D37" s="265" t="s">
        <v>112</v>
      </c>
    </row>
    <row r="38" spans="1:8" ht="15">
      <c r="A38" s="5" t="s">
        <v>113</v>
      </c>
      <c r="B38" s="271"/>
      <c r="C38" s="254" t="str">
        <f>IF(β.=0,"ندارد", "دارد")</f>
        <v>ندارد</v>
      </c>
      <c r="D38" s="265"/>
    </row>
    <row r="39" spans="1:8" ht="15">
      <c r="A39" s="5" t="s">
        <v>24</v>
      </c>
      <c r="B39" s="271"/>
      <c r="C39" s="254" t="str">
        <f>IF(Hardened=TRUE, "شده","نشده")</f>
        <v>نشده</v>
      </c>
      <c r="D39" s="265"/>
    </row>
    <row r="40" spans="1:8" ht="19.8">
      <c r="A40" s="5" t="s">
        <v>295</v>
      </c>
      <c r="B40" s="271" t="s">
        <v>22</v>
      </c>
      <c r="C40" s="255">
        <f>IF(iDPcwt=1,RDB-(Dt+dDPcwt)/2,IF(iDPcar=1,RDB-(Dt+dDPcar)/2,"-"))</f>
        <v>152</v>
      </c>
      <c r="D40" s="229" t="s">
        <v>395</v>
      </c>
      <c r="E40" s="186"/>
    </row>
    <row r="41" spans="1:8" ht="19.8">
      <c r="A41" s="5" t="s">
        <v>430</v>
      </c>
      <c r="B41" s="271" t="s">
        <v>22</v>
      </c>
      <c r="C41" s="255">
        <f>hP</f>
        <v>600</v>
      </c>
      <c r="D41" s="229" t="s">
        <v>351</v>
      </c>
      <c r="E41" s="63"/>
    </row>
    <row r="42" spans="1:8" ht="17.399999999999999">
      <c r="A42" s="5" t="s">
        <v>198</v>
      </c>
      <c r="B42" s="271" t="s">
        <v>115</v>
      </c>
      <c r="C42" s="256">
        <f>IF(α.&gt;0,RADIANS(α.),IF(iDPcwt=1,PI()-ASIN(((lp*(lp^2+hP^2-(Dt/2-dDPcwt/2)^2)^0.5)-hP*(Dt/2-dDPcwt/2))/(lp^2+hP^2)),IF(iDPcar=1,PI()-ASIN(((lp*(lp^2+hP^2-(Dt/2-dDPcar/2)^2)^0.5)-hP*(Dt/2-dDPcar/2))/(lp^2+hP^2)),RADIANS(180))))</f>
        <v>5.2359877559829888</v>
      </c>
      <c r="D42" s="266" t="str">
        <f>IF(α.&gt;0,"به صورت دستی α =",IF(OR(iDPcar=1,iDPcwt=1),"α =π-SIN-1(((lp*(lp^2+hP^2-(Dt/2-Ddp/2)^2)^0.5)-hP*(Dt/2-Ddp/2))/(lp^2+hP^2)) =","نیم دور کامل روی فلکه کشش"))</f>
        <v>به صورت دستی α =</v>
      </c>
      <c r="H42" s="69"/>
    </row>
    <row r="43" spans="1:8" ht="17.399999999999999">
      <c r="A43" s="5" t="s">
        <v>198</v>
      </c>
      <c r="B43" s="271" t="s">
        <v>26</v>
      </c>
      <c r="C43" s="257">
        <f>DEGREES(α)</f>
        <v>300</v>
      </c>
      <c r="D43" s="229" t="s">
        <v>199</v>
      </c>
      <c r="E43" s="69"/>
    </row>
    <row r="44" spans="1:8" ht="17.399999999999999">
      <c r="A44" s="5" t="s">
        <v>114</v>
      </c>
      <c r="B44" s="271" t="s">
        <v>115</v>
      </c>
      <c r="C44" s="361">
        <f>RADIANS(γ)</f>
        <v>0.52359877559829882</v>
      </c>
      <c r="D44" s="229" t="s">
        <v>241</v>
      </c>
    </row>
    <row r="45" spans="1:8" ht="17.399999999999999">
      <c r="A45" s="5" t="s">
        <v>116</v>
      </c>
      <c r="B45" s="271" t="s">
        <v>115</v>
      </c>
      <c r="C45" s="254">
        <f>RADIANS(β)</f>
        <v>0</v>
      </c>
      <c r="D45" s="229" t="s">
        <v>242</v>
      </c>
    </row>
    <row r="46" spans="1:8" ht="19.8">
      <c r="A46" s="5" t="s">
        <v>117</v>
      </c>
      <c r="B46" s="271" t="s">
        <v>11</v>
      </c>
      <c r="C46" s="254">
        <f>VCar*r.</f>
        <v>1.75</v>
      </c>
      <c r="D46" s="229" t="s">
        <v>396</v>
      </c>
      <c r="G46" s="69"/>
    </row>
    <row r="47" spans="1:8" ht="19.8">
      <c r="A47" s="5" t="s">
        <v>118</v>
      </c>
      <c r="B47" s="271" t="s">
        <v>82</v>
      </c>
      <c r="C47" s="254">
        <v>0.1</v>
      </c>
      <c r="D47" s="229" t="s">
        <v>397</v>
      </c>
    </row>
    <row r="48" spans="1:8" ht="19.8">
      <c r="A48" s="5" t="s">
        <v>119</v>
      </c>
      <c r="B48" s="271" t="s">
        <v>82</v>
      </c>
      <c r="C48" s="258">
        <f>0.1/(1+Vsr/10)</f>
        <v>8.5106382978723402E-2</v>
      </c>
      <c r="D48" s="229" t="s">
        <v>398</v>
      </c>
    </row>
    <row r="49" spans="1:8" ht="19.8">
      <c r="A49" s="5" t="s">
        <v>120</v>
      </c>
      <c r="B49" s="271" t="s">
        <v>82</v>
      </c>
      <c r="C49" s="254">
        <v>0.2</v>
      </c>
      <c r="D49" s="229" t="s">
        <v>399</v>
      </c>
      <c r="H49" s="69"/>
    </row>
    <row r="50" spans="1:8" ht="17.399999999999999">
      <c r="A50" s="5" t="s">
        <v>121</v>
      </c>
      <c r="B50" s="271" t="s">
        <v>82</v>
      </c>
      <c r="C50" s="254">
        <f>IF(Groove_Type=2,µ1*4*(COS(γ./2)-SIN(β./2))/(PI()-β.-γ.-SIN(β.)+SIN(γ.)),IF(Hardened=FALSE,µ1*4*(1-SIN(β./2))/(PI()-β.-SIN(β.)),µ1/SIN(γ./2)))</f>
        <v>0.12391632108159044</v>
      </c>
      <c r="D50" s="229" t="str">
        <f>IF(Groove_Type=2,"f1 =μ1*4*(Cos(γ/2)-Sin(β/2))/(π-β-γ-Sin(β)+Sin(γ)) =",IF(Hardened=TRUE,"f1 = μ1/Sin(γ/2)) =","f1 =μ1*4*(1-Sin(β/2))/(π-β-Sin(β)) ="))</f>
        <v>f1 =μ1*4*(Cos(γ/2)-Sin(β/2))/(π-β-γ-Sin(β)+Sin(γ)) =</v>
      </c>
    </row>
    <row r="51" spans="1:8" ht="17.399999999999999">
      <c r="A51" s="5" t="s">
        <v>122</v>
      </c>
      <c r="B51" s="271" t="s">
        <v>82</v>
      </c>
      <c r="C51" s="254">
        <f>IF(Groove_Type=2,µ2*4*(COS(γ./2)-SIN(β./2))/(PI()-β.-γ.-SIN(β.)+SIN(γ.)),IF(Hardened=FALSE,µ2*4*(1-SIN(β./2))/(PI()-β.-SIN(β.)),µ2/SIN(γ./2)))</f>
        <v>0.10546069879284292</v>
      </c>
      <c r="D51" s="229" t="str">
        <f>IF(Groove_Type=2,"f2 =μ2*4*(Cos(γ/2)-Sin(β/2))/(π-β-γ-Sin(β)+Sin(γ)) =",IF(Hardened=TRUE,"f2 = μ2/Sin(γ/2)) =","f2 = μ2*4*(1-Sin(β/2))/(π-β-Sin(β)) ="))</f>
        <v>f2 =μ2*4*(Cos(γ/2)-Sin(β/2))/(π-β-γ-Sin(β)+Sin(γ)) =</v>
      </c>
      <c r="H51" s="69"/>
    </row>
    <row r="52" spans="1:8" ht="18" thickBot="1">
      <c r="A52" s="8" t="s">
        <v>123</v>
      </c>
      <c r="B52" s="272" t="s">
        <v>82</v>
      </c>
      <c r="C52" s="360">
        <f>IF(Groove_Type=2,µ3*4*(COS(γ./2)-SIN(β./2))/(PI()-β.-γ.-SIN(β.)+SIN(γ.)),µ3/SIN(γ./2))</f>
        <v>0.24783264216318088</v>
      </c>
      <c r="D52" s="231" t="str">
        <f>IF(Groove_Type=2,"f3 =μ3*4*(Cos(γ/2)-Sin(β/2))/(π-β-γ-Sin(β)+Sin(γ)) =","f3 = μ3/Sin(γ/2)) =")</f>
        <v>f3 =μ3*4*(Cos(γ/2)-Sin(β/2))/(π-β-γ-Sin(β)+Sin(γ)) =</v>
      </c>
    </row>
    <row r="53" spans="1:8" ht="16.2" thickBot="1">
      <c r="A53" s="112"/>
      <c r="B53" s="65"/>
      <c r="C53" s="224"/>
      <c r="D53" s="227"/>
    </row>
    <row r="54" spans="1:8" ht="17.25" customHeight="1">
      <c r="A54" s="418" t="s">
        <v>520</v>
      </c>
      <c r="B54" s="419"/>
      <c r="C54" s="419"/>
      <c r="D54" s="420"/>
    </row>
    <row r="55" spans="1:8" ht="17.25" customHeight="1">
      <c r="A55" s="5" t="s">
        <v>206</v>
      </c>
      <c r="B55" s="1" t="s">
        <v>418</v>
      </c>
      <c r="C55" s="259">
        <v>0</v>
      </c>
      <c r="D55" s="229" t="s">
        <v>76</v>
      </c>
    </row>
    <row r="56" spans="1:8" ht="17.25" customHeight="1">
      <c r="A56" s="194" t="s">
        <v>202</v>
      </c>
      <c r="B56" s="195" t="s">
        <v>58</v>
      </c>
      <c r="C56" s="378">
        <f>1.25*Q</f>
        <v>1250</v>
      </c>
      <c r="D56" s="232" t="s">
        <v>401</v>
      </c>
      <c r="E56" s="69"/>
    </row>
    <row r="57" spans="1:8" ht="17.25" customHeight="1">
      <c r="A57" s="124" t="s">
        <v>521</v>
      </c>
      <c r="B57" s="1"/>
      <c r="C57" s="259"/>
      <c r="D57" s="229"/>
      <c r="E57" s="69"/>
    </row>
    <row r="58" spans="1:8" ht="17.25" customHeight="1">
      <c r="A58" s="5" t="s">
        <v>201</v>
      </c>
      <c r="B58" s="1" t="s">
        <v>71</v>
      </c>
      <c r="C58" s="259">
        <f>-H./2</f>
        <v>-15</v>
      </c>
      <c r="D58" s="229" t="s">
        <v>400</v>
      </c>
      <c r="E58" s="69"/>
    </row>
    <row r="59" spans="1:8" ht="17.25" customHeight="1">
      <c r="A59" s="5" t="s">
        <v>204</v>
      </c>
      <c r="B59" s="1" t="s">
        <v>58</v>
      </c>
      <c r="C59" s="259">
        <f>H.*nS*msr</f>
        <v>86.85</v>
      </c>
      <c r="D59" s="229" t="s">
        <v>531</v>
      </c>
      <c r="F59" s="64"/>
    </row>
    <row r="60" spans="1:8" ht="19.8">
      <c r="A60" s="5" t="s">
        <v>429</v>
      </c>
      <c r="B60" s="1" t="s">
        <v>58</v>
      </c>
      <c r="C60" s="259">
        <f>H.*nc.*mcr</f>
        <v>60</v>
      </c>
      <c r="D60" s="229" t="s">
        <v>532</v>
      </c>
      <c r="E60" s="26"/>
      <c r="G60" s="69"/>
    </row>
    <row r="61" spans="1:8" ht="19.8">
      <c r="A61" s="5" t="s">
        <v>434</v>
      </c>
      <c r="B61" s="1" t="s">
        <v>45</v>
      </c>
      <c r="C61" s="259">
        <f>(P+Q1.)*gn/r.+MComp*gn/(2*r.)+MSRcar*gn-FRCar/r.</f>
        <v>23505.498500000002</v>
      </c>
      <c r="D61" s="266" t="s">
        <v>509</v>
      </c>
      <c r="E61" s="259"/>
    </row>
    <row r="62" spans="1:8" ht="19.8">
      <c r="A62" s="5" t="s">
        <v>435</v>
      </c>
      <c r="B62" s="1" t="s">
        <v>45</v>
      </c>
      <c r="C62" s="259">
        <f>(Mcwt+MCRcwt)*gn/r.+MComp*gn/(2*r.)+FRCwt/r.</f>
        <v>15994.1</v>
      </c>
      <c r="D62" s="266" t="s">
        <v>510</v>
      </c>
    </row>
    <row r="63" spans="1:8" ht="19.8">
      <c r="A63" s="362"/>
      <c r="B63" s="363"/>
      <c r="C63" s="256">
        <f>EXP(f1.*α)</f>
        <v>1.9132901274756182</v>
      </c>
      <c r="D63" s="229" t="s">
        <v>402</v>
      </c>
      <c r="H63" s="69"/>
    </row>
    <row r="64" spans="1:8" ht="17.25" customHeight="1">
      <c r="A64" s="379">
        <f>C63-C64</f>
        <v>0.44365454310388097</v>
      </c>
      <c r="B64" s="380"/>
      <c r="C64" s="381">
        <f>C61/C62</f>
        <v>1.4696355843717372</v>
      </c>
      <c r="D64" s="232" t="s">
        <v>403</v>
      </c>
    </row>
    <row r="65" spans="1:8" ht="17.25" customHeight="1">
      <c r="A65" s="21" t="s">
        <v>530</v>
      </c>
      <c r="B65" s="1"/>
      <c r="C65" s="259"/>
      <c r="D65" s="229"/>
      <c r="E65" s="69"/>
    </row>
    <row r="66" spans="1:8" ht="17.25" customHeight="1">
      <c r="A66" s="5" t="s">
        <v>201</v>
      </c>
      <c r="B66" s="1" t="s">
        <v>71</v>
      </c>
      <c r="C66" s="259">
        <f>H./2</f>
        <v>15</v>
      </c>
      <c r="D66" s="229" t="s">
        <v>404</v>
      </c>
      <c r="E66" s="69"/>
    </row>
    <row r="67" spans="1:8" ht="17.25" customHeight="1">
      <c r="A67" s="5" t="s">
        <v>205</v>
      </c>
      <c r="B67" s="1" t="s">
        <v>58</v>
      </c>
      <c r="C67" s="259">
        <f>(0.5*H.+y2.)*nS*msr</f>
        <v>86.85</v>
      </c>
      <c r="D67" s="229" t="s">
        <v>533</v>
      </c>
      <c r="F67" s="64"/>
    </row>
    <row r="68" spans="1:8" ht="19.8">
      <c r="A68" s="5" t="s">
        <v>428</v>
      </c>
      <c r="B68" s="1" t="s">
        <v>58</v>
      </c>
      <c r="C68" s="259">
        <f>(0.5*H.+y2.)*nc.*mcr</f>
        <v>60</v>
      </c>
      <c r="D68" s="229" t="s">
        <v>534</v>
      </c>
    </row>
    <row r="69" spans="1:8" ht="19.8">
      <c r="A69" s="5" t="s">
        <v>203</v>
      </c>
      <c r="B69" s="1" t="s">
        <v>58</v>
      </c>
      <c r="C69" s="259">
        <f>(0.25*H.+0.5*y2.)*mt*nt</f>
        <v>6.75</v>
      </c>
      <c r="D69" s="229" t="s">
        <v>535</v>
      </c>
      <c r="F69" s="69"/>
    </row>
    <row r="70" spans="1:8" ht="19.8">
      <c r="A70" s="5" t="s">
        <v>434</v>
      </c>
      <c r="B70" s="1" t="s">
        <v>45</v>
      </c>
      <c r="C70" s="259">
        <f>(P+Q1.+MCRcar+MTrav)*gn/r.+MComp*gn/(2*r.)+FRCar/r.</f>
        <v>24108.317500000001</v>
      </c>
      <c r="D70" s="266" t="s">
        <v>536</v>
      </c>
    </row>
    <row r="71" spans="1:8" ht="19.8">
      <c r="A71" s="5" t="s">
        <v>435</v>
      </c>
      <c r="B71" s="1" t="s">
        <v>45</v>
      </c>
      <c r="C71" s="259">
        <f>(Mcwt)*gn/r.+MComp*gn/(2*r.)+MSRcwt*gn-FRCwt/r.</f>
        <v>15857.4985</v>
      </c>
      <c r="D71" s="266" t="s">
        <v>537</v>
      </c>
    </row>
    <row r="72" spans="1:8" ht="19.8">
      <c r="A72" s="111"/>
      <c r="B72" s="112"/>
      <c r="C72" s="256">
        <f>EXP(f1.*α)</f>
        <v>1.9132901274756182</v>
      </c>
      <c r="D72" s="229" t="s">
        <v>402</v>
      </c>
      <c r="H72" s="69"/>
    </row>
    <row r="73" spans="1:8" ht="17.25" customHeight="1" thickBot="1">
      <c r="A73" s="106">
        <f>C72-C73</f>
        <v>0.39297987803747381</v>
      </c>
      <c r="B73" s="107"/>
      <c r="C73" s="260">
        <f>C70/C71</f>
        <v>1.5203102494381444</v>
      </c>
      <c r="D73" s="231" t="s">
        <v>403</v>
      </c>
    </row>
    <row r="74" spans="1:8" ht="16.2" thickBot="1">
      <c r="A74" s="422"/>
      <c r="B74" s="422"/>
      <c r="C74" s="422"/>
      <c r="D74" s="436"/>
    </row>
    <row r="75" spans="1:8" ht="15">
      <c r="A75" s="418" t="s">
        <v>538</v>
      </c>
      <c r="B75" s="419"/>
      <c r="C75" s="419"/>
      <c r="D75" s="420"/>
    </row>
    <row r="76" spans="1:8" ht="17.399999999999999">
      <c r="A76" s="5" t="s">
        <v>206</v>
      </c>
      <c r="B76" s="1" t="s">
        <v>418</v>
      </c>
      <c r="C76" s="259">
        <f>a.</f>
        <v>0.6</v>
      </c>
      <c r="D76" s="229" t="s">
        <v>76</v>
      </c>
    </row>
    <row r="77" spans="1:8" ht="19.8">
      <c r="A77" s="194" t="s">
        <v>202</v>
      </c>
      <c r="B77" s="195" t="s">
        <v>58</v>
      </c>
      <c r="C77" s="378">
        <f>0*Q</f>
        <v>0</v>
      </c>
      <c r="D77" s="232" t="s">
        <v>405</v>
      </c>
      <c r="E77" s="69"/>
    </row>
    <row r="78" spans="1:8" ht="17.25" customHeight="1">
      <c r="A78" s="124" t="s">
        <v>521</v>
      </c>
      <c r="B78" s="1"/>
      <c r="C78" s="259"/>
      <c r="D78" s="229"/>
      <c r="E78" s="69"/>
    </row>
    <row r="79" spans="1:8" ht="17.399999999999999">
      <c r="A79" s="5" t="s">
        <v>201</v>
      </c>
      <c r="B79" s="1" t="s">
        <v>71</v>
      </c>
      <c r="C79" s="259">
        <f>y1.</f>
        <v>-15</v>
      </c>
      <c r="D79" s="229" t="s">
        <v>539</v>
      </c>
      <c r="E79" s="69"/>
    </row>
    <row r="80" spans="1:8" ht="19.8">
      <c r="A80" s="5" t="s">
        <v>124</v>
      </c>
      <c r="B80" s="1" t="s">
        <v>58</v>
      </c>
      <c r="C80" s="259">
        <f>(0.5*H.-y1.)*nS*msr</f>
        <v>86.85</v>
      </c>
      <c r="D80" s="229" t="s">
        <v>541</v>
      </c>
      <c r="F80" s="64"/>
    </row>
    <row r="81" spans="1:8" ht="19.8">
      <c r="A81" s="5" t="s">
        <v>422</v>
      </c>
      <c r="B81" s="1" t="s">
        <v>58</v>
      </c>
      <c r="C81" s="259">
        <f>(0.5*H.-y1.)*nc.*mcr</f>
        <v>60</v>
      </c>
      <c r="D81" s="229" t="s">
        <v>540</v>
      </c>
      <c r="E81" s="26"/>
    </row>
    <row r="82" spans="1:8" ht="39.6">
      <c r="A82" s="5" t="s">
        <v>434</v>
      </c>
      <c r="B82" s="1" t="s">
        <v>45</v>
      </c>
      <c r="C82" s="259">
        <f>(Mcwt+MCRcwt)*(gn-a.)/r.+MComp*gn/(2*r.)-(mPTD*a./r.)-(mDPcwt*r.*a.)-mPcwt*a.+FRCwt/r.</f>
        <v>15001.608695652176</v>
      </c>
      <c r="D82" s="267" t="s">
        <v>542</v>
      </c>
    </row>
    <row r="83" spans="1:8" ht="39.6">
      <c r="A83" s="5" t="s">
        <v>435</v>
      </c>
      <c r="B83" s="1" t="s">
        <v>45</v>
      </c>
      <c r="C83" s="259">
        <f>(P+Q2.)*(gn+a.)/r.+MComp*gn/(2*r.)+MSRcar*(gn+r.*a.)+(mPTD*a./r.)+(mDPcar*r.*a.)+mPcar*a.-FRCar/r.</f>
        <v>11955.1085</v>
      </c>
      <c r="D83" s="267" t="s">
        <v>543</v>
      </c>
      <c r="E83" s="174"/>
    </row>
    <row r="84" spans="1:8" ht="19.8">
      <c r="A84" s="111"/>
      <c r="B84" s="112"/>
      <c r="C84" s="256">
        <f>EXP(f2.*α)</f>
        <v>1.7370546127599602</v>
      </c>
      <c r="D84" s="267" t="s">
        <v>406</v>
      </c>
      <c r="H84" s="69"/>
    </row>
    <row r="85" spans="1:8" ht="19.8">
      <c r="A85" s="382">
        <f>C84-C85</f>
        <v>0.48222629433422814</v>
      </c>
      <c r="B85" s="380"/>
      <c r="C85" s="381">
        <f>C82/C83</f>
        <v>1.2548283184257321</v>
      </c>
      <c r="D85" s="383" t="s">
        <v>403</v>
      </c>
    </row>
    <row r="86" spans="1:8" ht="17.25" customHeight="1">
      <c r="A86" s="21" t="s">
        <v>530</v>
      </c>
      <c r="B86" s="1"/>
      <c r="C86" s="259"/>
      <c r="D86" s="229"/>
    </row>
    <row r="87" spans="1:8" ht="19.8">
      <c r="A87" s="5" t="s">
        <v>201</v>
      </c>
      <c r="B87" s="1" t="s">
        <v>71</v>
      </c>
      <c r="C87" s="259">
        <f>y2.</f>
        <v>15</v>
      </c>
      <c r="D87" s="229" t="s">
        <v>404</v>
      </c>
      <c r="E87" s="69"/>
    </row>
    <row r="88" spans="1:8" ht="19.8">
      <c r="A88" s="5" t="s">
        <v>523</v>
      </c>
      <c r="B88" s="1" t="s">
        <v>58</v>
      </c>
      <c r="C88" s="259">
        <f>(0.5*H.+y2.)*nS*msr</f>
        <v>86.85</v>
      </c>
      <c r="D88" s="229" t="s">
        <v>524</v>
      </c>
      <c r="F88" s="64"/>
    </row>
    <row r="89" spans="1:8" ht="19.8">
      <c r="A89" s="5" t="s">
        <v>427</v>
      </c>
      <c r="B89" s="1" t="s">
        <v>58</v>
      </c>
      <c r="C89" s="259">
        <f>(0.5*H.+y2.)*nc.*mcr</f>
        <v>60</v>
      </c>
      <c r="D89" s="229" t="s">
        <v>525</v>
      </c>
      <c r="G89" s="69"/>
    </row>
    <row r="90" spans="1:8" ht="19.8">
      <c r="A90" s="5" t="s">
        <v>125</v>
      </c>
      <c r="B90" s="1" t="s">
        <v>58</v>
      </c>
      <c r="C90" s="259">
        <f>(0.25*H.+0.5*y2.)*mt*nt</f>
        <v>6.75</v>
      </c>
      <c r="D90" s="229" t="s">
        <v>526</v>
      </c>
      <c r="E90" s="26"/>
      <c r="F90" s="69"/>
    </row>
    <row r="91" spans="1:8" ht="39.6">
      <c r="A91" s="5" t="s">
        <v>434</v>
      </c>
      <c r="B91" s="1" t="s">
        <v>45</v>
      </c>
      <c r="C91" s="259">
        <f>(Mcwt)*(gn+a.)/r.+MComp*gn/(2*r.)+(mPTD*a./r.)+MSRcwt*(gn+r.*a.)+(mDPcwt*r.*a.)+mPcwt*a.-FRCwt/r.</f>
        <v>16866.099804347825</v>
      </c>
      <c r="D91" s="267" t="s">
        <v>544</v>
      </c>
    </row>
    <row r="92" spans="1:8" ht="39.6">
      <c r="A92" s="5" t="s">
        <v>435</v>
      </c>
      <c r="B92" s="1" t="s">
        <v>45</v>
      </c>
      <c r="C92" s="259">
        <f>(P+Q2.+MCRcar+MTrav)*(gn-a.)/r.+MComp*gn/(2*r.)-(mPTD.*a./r.)-(mDPcar*r.*a.)-mPcar*a.+FRCar/r.</f>
        <v>11145.767500000002</v>
      </c>
      <c r="D92" s="267" t="s">
        <v>545</v>
      </c>
      <c r="E92" s="174"/>
    </row>
    <row r="93" spans="1:8" ht="19.8">
      <c r="A93" s="362"/>
      <c r="B93" s="363"/>
      <c r="C93" s="256">
        <f>EXP(f2.*α)</f>
        <v>1.7370546127599602</v>
      </c>
      <c r="D93" s="267" t="s">
        <v>406</v>
      </c>
      <c r="H93" s="69"/>
    </row>
    <row r="94" spans="1:8" ht="20.399999999999999" thickBot="1">
      <c r="A94" s="108">
        <f>C93-C94</f>
        <v>0.22382550544654989</v>
      </c>
      <c r="B94" s="107"/>
      <c r="C94" s="260">
        <f>C91/C92</f>
        <v>1.5132291073134103</v>
      </c>
      <c r="D94" s="384" t="s">
        <v>403</v>
      </c>
    </row>
    <row r="95" spans="1:8" ht="16.2" thickBot="1">
      <c r="A95" s="422"/>
      <c r="B95" s="422"/>
      <c r="C95" s="422"/>
      <c r="D95" s="436"/>
    </row>
    <row r="96" spans="1:8" ht="17.25" customHeight="1">
      <c r="A96" s="418" t="s">
        <v>548</v>
      </c>
      <c r="B96" s="419"/>
      <c r="C96" s="419"/>
      <c r="D96" s="420"/>
    </row>
    <row r="97" spans="1:8" ht="17.399999999999999">
      <c r="A97" s="5" t="s">
        <v>206</v>
      </c>
      <c r="B97" s="1" t="s">
        <v>418</v>
      </c>
      <c r="C97" s="259">
        <f>a.</f>
        <v>0.6</v>
      </c>
      <c r="D97" s="229" t="s">
        <v>76</v>
      </c>
    </row>
    <row r="98" spans="1:8" ht="19.8">
      <c r="A98" s="194" t="s">
        <v>202</v>
      </c>
      <c r="B98" s="195" t="s">
        <v>58</v>
      </c>
      <c r="C98" s="378">
        <f>1*Q</f>
        <v>1000</v>
      </c>
      <c r="D98" s="232" t="s">
        <v>551</v>
      </c>
      <c r="E98" s="69"/>
    </row>
    <row r="99" spans="1:8" ht="17.25" customHeight="1">
      <c r="A99" s="124" t="s">
        <v>521</v>
      </c>
      <c r="B99" s="1"/>
      <c r="C99" s="259"/>
      <c r="D99" s="229"/>
      <c r="E99" s="69"/>
    </row>
    <row r="100" spans="1:8" ht="17.399999999999999">
      <c r="A100" s="5" t="s">
        <v>201</v>
      </c>
      <c r="B100" s="1" t="s">
        <v>71</v>
      </c>
      <c r="C100" s="259">
        <f>y1.</f>
        <v>-15</v>
      </c>
      <c r="D100" s="229" t="s">
        <v>539</v>
      </c>
      <c r="E100" s="69"/>
    </row>
    <row r="101" spans="1:8" ht="19.8">
      <c r="A101" s="5" t="s">
        <v>124</v>
      </c>
      <c r="B101" s="1" t="s">
        <v>58</v>
      </c>
      <c r="C101" s="259">
        <f>(0.5*H.-y1.)*nS*msr</f>
        <v>86.85</v>
      </c>
      <c r="D101" s="229" t="s">
        <v>541</v>
      </c>
      <c r="F101" s="64"/>
    </row>
    <row r="102" spans="1:8" ht="19.8">
      <c r="A102" s="5" t="s">
        <v>422</v>
      </c>
      <c r="B102" s="1" t="s">
        <v>58</v>
      </c>
      <c r="C102" s="259">
        <f>(0.5*H.-y1.)*nc.*mcr</f>
        <v>60</v>
      </c>
      <c r="D102" s="229" t="s">
        <v>540</v>
      </c>
      <c r="E102" s="26"/>
    </row>
    <row r="103" spans="1:8" ht="39.6">
      <c r="A103" s="5" t="s">
        <v>434</v>
      </c>
      <c r="B103" s="1" t="s">
        <v>45</v>
      </c>
      <c r="C103" s="259">
        <f>(P+Q3.)*(gn+a.)/r.+MComp*gn/(2*r.)+MSRcar*(gn+r.*a.)+(mPTD*a./r.)+(mDPcar*r.*a.)+mPcar*a.-FRCar/r.</f>
        <v>22365.108499999998</v>
      </c>
      <c r="D103" s="267" t="s">
        <v>547</v>
      </c>
      <c r="E103" s="174"/>
    </row>
    <row r="104" spans="1:8" ht="39.6">
      <c r="A104" s="5" t="s">
        <v>435</v>
      </c>
      <c r="B104" s="1" t="s">
        <v>45</v>
      </c>
      <c r="C104" s="259">
        <f>(Mcwt+MCRcwt)*(gn-a.)/r.+MComp*gn/(2*r.)-(mPTD*a./r.)-(mDPcwt*r.*a.)-mPcwt*a.+FRCwt/r.</f>
        <v>15001.608695652176</v>
      </c>
      <c r="D104" s="267" t="s">
        <v>546</v>
      </c>
    </row>
    <row r="105" spans="1:8" ht="19.8">
      <c r="A105" s="362"/>
      <c r="B105" s="363"/>
      <c r="C105" s="256">
        <f>EXP(f2.*α)</f>
        <v>1.7370546127599602</v>
      </c>
      <c r="D105" s="267" t="s">
        <v>406</v>
      </c>
      <c r="H105" s="69"/>
    </row>
    <row r="106" spans="1:8" ht="19.8">
      <c r="A106" s="382">
        <f>C105-C106</f>
        <v>0.24620726740279597</v>
      </c>
      <c r="B106" s="380"/>
      <c r="C106" s="381">
        <f>C103/C104</f>
        <v>1.4908473453571642</v>
      </c>
      <c r="D106" s="385" t="s">
        <v>403</v>
      </c>
      <c r="E106" s="69"/>
    </row>
    <row r="107" spans="1:8" ht="17.25" customHeight="1">
      <c r="A107" s="21" t="s">
        <v>530</v>
      </c>
      <c r="B107" s="1"/>
      <c r="C107" s="259"/>
      <c r="D107" s="229"/>
      <c r="E107" s="69"/>
    </row>
    <row r="108" spans="1:8" ht="19.8">
      <c r="A108" s="5" t="s">
        <v>201</v>
      </c>
      <c r="B108" s="1" t="s">
        <v>71</v>
      </c>
      <c r="C108" s="259">
        <f>y2.</f>
        <v>15</v>
      </c>
      <c r="D108" s="229" t="s">
        <v>404</v>
      </c>
      <c r="E108" s="69"/>
    </row>
    <row r="109" spans="1:8" ht="19.8">
      <c r="A109" s="5" t="s">
        <v>523</v>
      </c>
      <c r="B109" s="1" t="s">
        <v>58</v>
      </c>
      <c r="C109" s="259">
        <f>(0.5*H.+y2.)*nS*msr</f>
        <v>86.85</v>
      </c>
      <c r="D109" s="229" t="s">
        <v>524</v>
      </c>
      <c r="F109" s="64"/>
    </row>
    <row r="110" spans="1:8" ht="19.8">
      <c r="A110" s="5" t="s">
        <v>427</v>
      </c>
      <c r="B110" s="1" t="s">
        <v>58</v>
      </c>
      <c r="C110" s="259">
        <f>(0.5*H.+y2.)*nc.*mcr</f>
        <v>60</v>
      </c>
      <c r="D110" s="229" t="s">
        <v>525</v>
      </c>
      <c r="G110" s="69"/>
    </row>
    <row r="111" spans="1:8" ht="19.8">
      <c r="A111" s="5" t="s">
        <v>125</v>
      </c>
      <c r="B111" s="1" t="s">
        <v>58</v>
      </c>
      <c r="C111" s="259">
        <f>(0.25*H.+0.5*y2.)*mt*nt</f>
        <v>6.75</v>
      </c>
      <c r="D111" s="229" t="s">
        <v>526</v>
      </c>
      <c r="E111" s="26"/>
      <c r="F111" s="69"/>
    </row>
    <row r="112" spans="1:8" ht="39.6">
      <c r="A112" s="5" t="s">
        <v>434</v>
      </c>
      <c r="B112" s="1" t="s">
        <v>45</v>
      </c>
      <c r="C112" s="259">
        <f>(P+Q3.+MCRcar+MTrav)*(gn-a.)/r.+MComp*gn/(2*r.)-(mPTD.*a./r.)-(mDPcar*r.*a.)-mPcar*a.+FRCar/r.</f>
        <v>20355.767500000002</v>
      </c>
      <c r="D112" s="267" t="s">
        <v>550</v>
      </c>
      <c r="E112" s="174"/>
    </row>
    <row r="113" spans="1:8" ht="39.6">
      <c r="A113" s="5" t="s">
        <v>435</v>
      </c>
      <c r="B113" s="1" t="s">
        <v>45</v>
      </c>
      <c r="C113" s="259">
        <f>(Mcwt)*(gn+a.)/r.+MComp*gn/(2*r.)+(mPTD*a./r.)+MSRcwt*(gn+r.*a.)+(mDPcwt*r.*a.)+mPcwt*a.-FRCwt/r.</f>
        <v>16866.099804347825</v>
      </c>
      <c r="D113" s="267" t="s">
        <v>549</v>
      </c>
    </row>
    <row r="114" spans="1:8" ht="19.8">
      <c r="A114" s="362"/>
      <c r="B114" s="363"/>
      <c r="C114" s="256">
        <f>EXP(f2.*α)</f>
        <v>1.7370546127599602</v>
      </c>
      <c r="D114" s="267" t="s">
        <v>406</v>
      </c>
      <c r="H114" s="69"/>
    </row>
    <row r="115" spans="1:8" ht="20.399999999999999" thickBot="1">
      <c r="A115" s="108">
        <f>C114-C115</f>
        <v>0.53015036482277011</v>
      </c>
      <c r="B115" s="107"/>
      <c r="C115" s="260">
        <f>C112/C113</f>
        <v>1.2069042479371901</v>
      </c>
      <c r="D115" s="268" t="s">
        <v>403</v>
      </c>
    </row>
    <row r="116" spans="1:8" ht="16.2" thickBot="1">
      <c r="A116" s="422"/>
      <c r="B116" s="422"/>
      <c r="C116" s="422"/>
      <c r="D116" s="436"/>
    </row>
    <row r="117" spans="1:8" ht="17.25" customHeight="1">
      <c r="A117" s="418" t="s">
        <v>566</v>
      </c>
      <c r="B117" s="419"/>
      <c r="C117" s="419"/>
      <c r="D117" s="420"/>
    </row>
    <row r="118" spans="1:8" ht="17.25" customHeight="1">
      <c r="A118" s="124" t="s">
        <v>567</v>
      </c>
      <c r="B118" s="1"/>
      <c r="C118" s="259"/>
      <c r="D118" s="229"/>
      <c r="E118" s="69"/>
    </row>
    <row r="119" spans="1:8" ht="17.399999999999999">
      <c r="A119" s="5" t="s">
        <v>201</v>
      </c>
      <c r="B119" s="1" t="s">
        <v>71</v>
      </c>
      <c r="C119" s="259">
        <f>H./2</f>
        <v>15</v>
      </c>
      <c r="D119" s="229" t="s">
        <v>522</v>
      </c>
      <c r="E119" s="69"/>
    </row>
    <row r="120" spans="1:8" ht="19.8">
      <c r="A120" s="5" t="s">
        <v>523</v>
      </c>
      <c r="B120" s="1" t="s">
        <v>58</v>
      </c>
      <c r="C120" s="259">
        <f>(0.5*H.+y2.)*nS*msr</f>
        <v>86.85</v>
      </c>
      <c r="D120" s="229" t="s">
        <v>524</v>
      </c>
      <c r="F120" s="64"/>
    </row>
    <row r="121" spans="1:8" ht="19.8">
      <c r="A121" s="5" t="s">
        <v>427</v>
      </c>
      <c r="B121" s="1" t="s">
        <v>58</v>
      </c>
      <c r="C121" s="259">
        <f>(0.5*H.+y2.)*nc.*mcr</f>
        <v>60</v>
      </c>
      <c r="D121" s="229" t="s">
        <v>525</v>
      </c>
    </row>
    <row r="122" spans="1:8" ht="19.8">
      <c r="A122" s="5" t="s">
        <v>125</v>
      </c>
      <c r="B122" s="1" t="s">
        <v>58</v>
      </c>
      <c r="C122" s="259">
        <f>(0.25*H.+0.5*y2.)*mt*nt</f>
        <v>6.75</v>
      </c>
      <c r="D122" s="229" t="s">
        <v>526</v>
      </c>
      <c r="F122" s="69"/>
    </row>
    <row r="123" spans="1:8" ht="19.8">
      <c r="A123" s="5" t="s">
        <v>434</v>
      </c>
      <c r="B123" s="1" t="s">
        <v>45</v>
      </c>
      <c r="C123" s="259">
        <f>(P+MCRcar+MTrav)*gn/r.+MComp*gn/(2*r.)+FRCar/r.</f>
        <v>11845.817500000001</v>
      </c>
      <c r="D123" s="267" t="s">
        <v>511</v>
      </c>
      <c r="E123" s="259"/>
    </row>
    <row r="124" spans="1:8" ht="19.8">
      <c r="A124" s="5" t="s">
        <v>435</v>
      </c>
      <c r="B124" s="1" t="s">
        <v>45</v>
      </c>
      <c r="C124" s="259">
        <f>MSRcwt*gn</f>
        <v>851.99850000000004</v>
      </c>
      <c r="D124" s="267" t="s">
        <v>512</v>
      </c>
    </row>
    <row r="125" spans="1:8" ht="19.8">
      <c r="A125" s="391"/>
      <c r="B125" s="392"/>
      <c r="C125" s="256">
        <f>EXP(f3.*α)</f>
        <v>3.6606791118956674</v>
      </c>
      <c r="D125" s="267" t="s">
        <v>407</v>
      </c>
      <c r="E125" s="256"/>
    </row>
    <row r="126" spans="1:8" ht="19.8">
      <c r="A126" s="401">
        <f>C126-C125</f>
        <v>10.242887032880409</v>
      </c>
      <c r="B126" s="380"/>
      <c r="C126" s="381">
        <f>C123/C124</f>
        <v>13.903566144776077</v>
      </c>
      <c r="D126" s="383" t="s">
        <v>403</v>
      </c>
    </row>
    <row r="127" spans="1:8" ht="17.25" customHeight="1">
      <c r="A127" s="21" t="s">
        <v>568</v>
      </c>
      <c r="B127" s="1"/>
      <c r="C127" s="259"/>
      <c r="D127" s="229"/>
      <c r="E127" s="69"/>
    </row>
    <row r="128" spans="1:8" ht="17.399999999999999">
      <c r="A128" s="5" t="s">
        <v>201</v>
      </c>
      <c r="B128" s="1" t="s">
        <v>71</v>
      </c>
      <c r="C128" s="259">
        <f>-H./2</f>
        <v>-15</v>
      </c>
      <c r="D128" s="229" t="s">
        <v>522</v>
      </c>
      <c r="E128" s="69"/>
    </row>
    <row r="129" spans="1:6" ht="19.8">
      <c r="A129" s="5" t="s">
        <v>124</v>
      </c>
      <c r="B129" s="1" t="s">
        <v>58</v>
      </c>
      <c r="C129" s="259">
        <f>(0.5*H.+y2.)*nS*msr</f>
        <v>86.85</v>
      </c>
      <c r="D129" s="229" t="s">
        <v>541</v>
      </c>
      <c r="F129" s="64"/>
    </row>
    <row r="130" spans="1:6" ht="19.8">
      <c r="A130" s="5" t="s">
        <v>422</v>
      </c>
      <c r="B130" s="1" t="s">
        <v>58</v>
      </c>
      <c r="C130" s="259">
        <f>(0.5*H.+y2.)*nc.*mcr</f>
        <v>60</v>
      </c>
      <c r="D130" s="229" t="s">
        <v>540</v>
      </c>
    </row>
    <row r="131" spans="1:6" ht="19.8">
      <c r="A131" s="5" t="s">
        <v>434</v>
      </c>
      <c r="B131" s="1" t="s">
        <v>45</v>
      </c>
      <c r="C131" s="259">
        <f>(Mcwt+MCRcwt)*gn/r.+MComp*gn/(2*r.)+FRCwt/r.</f>
        <v>15994.1</v>
      </c>
      <c r="D131" s="267" t="s">
        <v>569</v>
      </c>
      <c r="E131" s="259"/>
    </row>
    <row r="132" spans="1:6" ht="19.8">
      <c r="A132" s="5" t="s">
        <v>435</v>
      </c>
      <c r="B132" s="1" t="s">
        <v>45</v>
      </c>
      <c r="C132" s="259">
        <f>MSRcar*gn</f>
        <v>851.99850000000004</v>
      </c>
      <c r="D132" s="267" t="s">
        <v>570</v>
      </c>
    </row>
    <row r="133" spans="1:6" ht="19.8">
      <c r="A133" s="111"/>
      <c r="B133" s="112"/>
      <c r="C133" s="256">
        <f>EXP(f3.*α)</f>
        <v>3.6606791118956674</v>
      </c>
      <c r="D133" s="267" t="s">
        <v>407</v>
      </c>
      <c r="E133" s="256"/>
    </row>
    <row r="134" spans="1:6" ht="20.399999999999999" thickBot="1">
      <c r="A134" s="109">
        <f>C134-C133</f>
        <v>15.111771778569516</v>
      </c>
      <c r="B134" s="107"/>
      <c r="C134" s="260">
        <f>C131/C132</f>
        <v>18.772450890465183</v>
      </c>
      <c r="D134" s="268" t="s">
        <v>403</v>
      </c>
    </row>
    <row r="135" spans="1:6" ht="15.6" thickBot="1">
      <c r="A135" s="429"/>
      <c r="B135" s="430"/>
      <c r="C135" s="431"/>
      <c r="D135" s="432"/>
    </row>
    <row r="136" spans="1:6" ht="17.25" customHeight="1">
      <c r="A136" s="426" t="s">
        <v>126</v>
      </c>
      <c r="B136" s="427"/>
      <c r="C136" s="427"/>
      <c r="D136" s="428"/>
    </row>
    <row r="137" spans="1:6" ht="15">
      <c r="A137" s="5" t="s">
        <v>23</v>
      </c>
      <c r="B137" s="67"/>
      <c r="C137" s="250" t="str">
        <f>IF(Groove_Type=1, "V","U")</f>
        <v>U</v>
      </c>
      <c r="D137" s="269" t="s">
        <v>112</v>
      </c>
    </row>
    <row r="138" spans="1:6" ht="17.399999999999999">
      <c r="A138" s="5" t="s">
        <v>25</v>
      </c>
      <c r="B138" s="1" t="s">
        <v>26</v>
      </c>
      <c r="C138" s="250">
        <f>γ</f>
        <v>30</v>
      </c>
      <c r="D138" s="229" t="s">
        <v>241</v>
      </c>
    </row>
    <row r="139" spans="1:6" ht="17.399999999999999">
      <c r="A139" s="5" t="s">
        <v>27</v>
      </c>
      <c r="B139" s="1" t="s">
        <v>26</v>
      </c>
      <c r="C139" s="250">
        <f>β</f>
        <v>0</v>
      </c>
      <c r="D139" s="229" t="s">
        <v>242</v>
      </c>
    </row>
    <row r="140" spans="1:6" ht="17.399999999999999">
      <c r="A140" s="5" t="s">
        <v>113</v>
      </c>
      <c r="B140" s="67"/>
      <c r="C140" s="250" t="str">
        <f>IF(β=0,"ندارد", "دارد")</f>
        <v>ندارد</v>
      </c>
      <c r="D140" s="220"/>
    </row>
    <row r="141" spans="1:6" ht="19.8">
      <c r="A141" s="5" t="s">
        <v>78</v>
      </c>
      <c r="B141" s="1" t="s">
        <v>62</v>
      </c>
      <c r="C141" s="250">
        <f>Npr</f>
        <v>0</v>
      </c>
      <c r="D141" s="229" t="s">
        <v>371</v>
      </c>
    </row>
    <row r="142" spans="1:6" ht="19.8">
      <c r="A142" s="5" t="s">
        <v>79</v>
      </c>
      <c r="B142" s="1" t="s">
        <v>62</v>
      </c>
      <c r="C142" s="250">
        <f>(iDPcar+iDPcwt)*Wr+iPcar-Npr</f>
        <v>1</v>
      </c>
      <c r="D142" s="229" t="s">
        <v>408</v>
      </c>
    </row>
    <row r="143" spans="1:6" ht="19.8">
      <c r="A143" s="5" t="s">
        <v>278</v>
      </c>
      <c r="B143" s="1" t="s">
        <v>22</v>
      </c>
      <c r="C143" s="250">
        <f>IF(Npr+Nps=0,"-",(iDPcar*dDPcar+iDPcwt*dDPcwt+iPcar*dPcar)/(iDPcar+iDPcwt+iPcar))</f>
        <v>520</v>
      </c>
      <c r="D143" s="229" t="s">
        <v>391</v>
      </c>
    </row>
    <row r="144" spans="1:6" ht="19.8">
      <c r="A144" s="5" t="s">
        <v>243</v>
      </c>
      <c r="B144" s="1" t="s">
        <v>82</v>
      </c>
      <c r="C144" s="225">
        <f>IF(Npr+Nps=0,0,(Dt/Dp)^4)</f>
        <v>1.3450509435944118</v>
      </c>
      <c r="D144" s="229" t="s">
        <v>409</v>
      </c>
    </row>
    <row r="145" spans="1:5" ht="19.8">
      <c r="A145" s="5" t="s">
        <v>227</v>
      </c>
      <c r="B145" s="1" t="s">
        <v>82</v>
      </c>
      <c r="C145" s="259">
        <f>IF(Groove_Type=1,HLOOKUP(γ,'مساحت کابین &amp; Neq(t)'!$J$2:$T$3,2),Wr*HLOOKUP(β,'مساحت کابین &amp; Neq(t)'!$J$5:$U$6,2))</f>
        <v>1</v>
      </c>
      <c r="D145" s="229" t="s">
        <v>410</v>
      </c>
      <c r="E145" s="259"/>
    </row>
    <row r="146" spans="1:5" ht="19.8">
      <c r="A146" s="5" t="s">
        <v>228</v>
      </c>
      <c r="B146" s="1" t="s">
        <v>82</v>
      </c>
      <c r="C146" s="256">
        <f>Kp*(Nps+4*Npr)</f>
        <v>1.3450509435944118</v>
      </c>
      <c r="D146" s="229" t="s">
        <v>411</v>
      </c>
    </row>
    <row r="147" spans="1:5" ht="19.8">
      <c r="A147" s="5" t="s">
        <v>232</v>
      </c>
      <c r="B147" s="1" t="s">
        <v>82</v>
      </c>
      <c r="C147" s="256">
        <f>Neqt+Neqp</f>
        <v>2.345050943594412</v>
      </c>
      <c r="D147" s="229" t="s">
        <v>412</v>
      </c>
    </row>
    <row r="148" spans="1:5" ht="39.6">
      <c r="A148" s="5" t="s">
        <v>233</v>
      </c>
      <c r="B148" s="1" t="s">
        <v>82</v>
      </c>
      <c r="C148" s="259">
        <f>IF(10^(2.6834-LOG10(695.85*10^6*Neq/(Dt/dsr)^8.567)/LOG10(77.09*(Dt/dsr)^(-2.895)))&lt;12,12,10^(2.6834-LOG10(695.85*10^6*Neq/(Dt/dsr)^8.567)/LOG10(77.09*(Dt/dsr)^(-2.895))))</f>
        <v>12</v>
      </c>
      <c r="D148" s="266" t="s">
        <v>413</v>
      </c>
    </row>
    <row r="149" spans="1:5" ht="17.399999999999999">
      <c r="A149" s="5" t="s">
        <v>426</v>
      </c>
      <c r="B149" s="1" t="s">
        <v>45</v>
      </c>
      <c r="C149" s="259">
        <f>((P+Q3.)*gn/r.+MComp*gn/(2*r.)+MSRcar*gn)/nS</f>
        <v>4290.5997000000007</v>
      </c>
      <c r="D149" s="266"/>
    </row>
    <row r="150" spans="1:5" ht="18" thickBot="1">
      <c r="A150" s="8" t="s">
        <v>234</v>
      </c>
      <c r="B150" s="9" t="s">
        <v>82</v>
      </c>
      <c r="C150" s="261">
        <f>Fsr_min*1000/C149</f>
        <v>18.808559558702246</v>
      </c>
      <c r="D150" s="270">
        <f>Sf_cur-Sf_min</f>
        <v>6.8085595587022461</v>
      </c>
    </row>
    <row r="151" spans="1:5" ht="21" customHeight="1">
      <c r="A151" s="10"/>
      <c r="B151" s="1"/>
      <c r="C151" s="250"/>
      <c r="D151" s="7"/>
    </row>
    <row r="152" spans="1:5" ht="21" customHeight="1">
      <c r="A152" s="10"/>
      <c r="B152" s="1"/>
      <c r="C152" s="250"/>
      <c r="D152" s="7"/>
    </row>
  </sheetData>
  <sheetProtection password="F946" sheet="1" objects="1" scenarios="1" selectLockedCells="1" selectUnlockedCells="1"/>
  <dataConsolidate/>
  <customSheetViews>
    <customSheetView guid="{0B2838C1-64E2-4766-B82E-FE301CB42C7D}" scale="120" showGridLines="0" fitToPage="1" printArea="1" topLeftCell="A62">
      <selection activeCell="C6" sqref="C6"/>
      <rowBreaks count="2" manualBreakCount="2">
        <brk id="48" max="16383" man="1"/>
        <brk id="90" max="16383" man="1"/>
      </rowBreaks>
      <pageMargins left="0.39370078740157483" right="0.39370078740157483" top="0.59055118110236227" bottom="0.59055118110236227" header="0.31496062992125984" footer="0.31496062992125984"/>
      <printOptions horizontalCentered="1"/>
      <pageSetup paperSize="9" scale="80" fitToHeight="0" orientation="portrait" r:id="rId1"/>
    </customSheetView>
  </customSheetViews>
  <mergeCells count="11">
    <mergeCell ref="A136:D136"/>
    <mergeCell ref="A135:D135"/>
    <mergeCell ref="A1:D1"/>
    <mergeCell ref="A36:D36"/>
    <mergeCell ref="A75:D75"/>
    <mergeCell ref="A95:D95"/>
    <mergeCell ref="A54:D54"/>
    <mergeCell ref="A74:D74"/>
    <mergeCell ref="A96:D96"/>
    <mergeCell ref="A116:D116"/>
    <mergeCell ref="A117:D117"/>
  </mergeCells>
  <conditionalFormatting sqref="C85">
    <cfRule type="cellIs" dxfId="13" priority="10" operator="greaterThan">
      <formula>$C$84</formula>
    </cfRule>
  </conditionalFormatting>
  <conditionalFormatting sqref="C73">
    <cfRule type="cellIs" dxfId="12" priority="9" operator="greaterThan">
      <formula>$C$72</formula>
    </cfRule>
  </conditionalFormatting>
  <conditionalFormatting sqref="C134">
    <cfRule type="cellIs" dxfId="11" priority="7" operator="lessThan">
      <formula>$C$133</formula>
    </cfRule>
  </conditionalFormatting>
  <conditionalFormatting sqref="C150">
    <cfRule type="cellIs" dxfId="10" priority="6" operator="lessThan">
      <formula>Sf_min</formula>
    </cfRule>
  </conditionalFormatting>
  <conditionalFormatting sqref="C64">
    <cfRule type="cellIs" dxfId="9" priority="5" operator="greaterThan">
      <formula>$C$72</formula>
    </cfRule>
  </conditionalFormatting>
  <conditionalFormatting sqref="C94">
    <cfRule type="cellIs" dxfId="8" priority="4" operator="greaterThan">
      <formula>$C$84</formula>
    </cfRule>
  </conditionalFormatting>
  <conditionalFormatting sqref="C106">
    <cfRule type="cellIs" dxfId="7" priority="3" operator="greaterThan">
      <formula>$C$84</formula>
    </cfRule>
  </conditionalFormatting>
  <conditionalFormatting sqref="C115">
    <cfRule type="cellIs" dxfId="6" priority="2" operator="greaterThan">
      <formula>$C$84</formula>
    </cfRule>
  </conditionalFormatting>
  <conditionalFormatting sqref="C126">
    <cfRule type="cellIs" dxfId="5" priority="1" operator="lessThan">
      <formula>$C$133</formula>
    </cfRule>
  </conditionalFormatting>
  <dataValidations count="4">
    <dataValidation allowBlank="1" showInputMessage="1" showErrorMessage="1" promptTitle="نوع سيم بكسل" sqref="C5"/>
    <dataValidation type="whole" operator="lessThan" allowBlank="1" showErrorMessage="1" promptTitle="زاويه پيچش" prompt="زاويه پيچش را وارد كنيد" sqref="C26:C27">
      <formula1>100</formula1>
    </dataValidation>
    <dataValidation showInputMessage="1" showErrorMessage="1" sqref="C138:C139"/>
    <dataValidation errorStyle="warning" operator="greaterThanOrEqual" allowBlank="1" showInputMessage="1" showErrorMessage="1" sqref="C148"/>
  </dataValidations>
  <printOptions horizontalCentered="1"/>
  <pageMargins left="0.39370078740157483" right="0.39370078740157483" top="1.5748031496062993" bottom="0.39370078740157483" header="0" footer="0.31496062992125984"/>
  <pageSetup paperSize="9" scale="73" fitToHeight="0" orientation="portrait" r:id="rId2"/>
  <rowBreaks count="3" manualBreakCount="3">
    <brk id="52" max="16383" man="1"/>
    <brk id="95" max="3" man="1"/>
    <brk id="11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"/>
  <sheetViews>
    <sheetView showGridLines="0" workbookViewId="0">
      <selection activeCell="E11" sqref="E11"/>
    </sheetView>
  </sheetViews>
  <sheetFormatPr defaultColWidth="8.83203125" defaultRowHeight="13.2"/>
  <cols>
    <col min="1" max="25" width="5.33203125" style="25" customWidth="1"/>
    <col min="26" max="16384" width="8.83203125" style="25"/>
  </cols>
  <sheetData>
    <row r="1" spans="1:25" ht="13.8" thickBot="1">
      <c r="A1" s="440" t="s">
        <v>513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2"/>
      <c r="N1" s="443" t="s">
        <v>514</v>
      </c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5"/>
    </row>
    <row r="2" spans="1:25">
      <c r="A2" s="364" t="s">
        <v>515</v>
      </c>
      <c r="B2" s="365">
        <v>0</v>
      </c>
      <c r="C2" s="365">
        <v>1</v>
      </c>
      <c r="D2" s="365">
        <v>2</v>
      </c>
      <c r="E2" s="365">
        <v>3</v>
      </c>
      <c r="F2" s="365">
        <v>4</v>
      </c>
      <c r="G2" s="365">
        <v>5</v>
      </c>
      <c r="H2" s="365">
        <v>6</v>
      </c>
      <c r="I2" s="365">
        <v>7</v>
      </c>
      <c r="J2" s="365">
        <v>8</v>
      </c>
      <c r="K2" s="365">
        <v>9</v>
      </c>
      <c r="L2" s="366" t="s">
        <v>515</v>
      </c>
      <c r="N2" s="367" t="s">
        <v>515</v>
      </c>
      <c r="O2" s="368">
        <v>0</v>
      </c>
      <c r="P2" s="368">
        <v>1</v>
      </c>
      <c r="Q2" s="368">
        <v>2</v>
      </c>
      <c r="R2" s="368">
        <v>3</v>
      </c>
      <c r="S2" s="368">
        <v>4</v>
      </c>
      <c r="T2" s="368">
        <v>5</v>
      </c>
      <c r="U2" s="368">
        <v>6</v>
      </c>
      <c r="V2" s="368">
        <v>7</v>
      </c>
      <c r="W2" s="368">
        <v>8</v>
      </c>
      <c r="X2" s="368">
        <v>9</v>
      </c>
      <c r="Y2" s="369" t="s">
        <v>515</v>
      </c>
    </row>
    <row r="3" spans="1:25">
      <c r="A3" s="370">
        <v>20</v>
      </c>
      <c r="B3" s="371">
        <v>1.04</v>
      </c>
      <c r="C3" s="371">
        <v>1.04</v>
      </c>
      <c r="D3" s="371">
        <v>1.04</v>
      </c>
      <c r="E3" s="371">
        <v>1.05</v>
      </c>
      <c r="F3" s="371">
        <v>1.05</v>
      </c>
      <c r="G3" s="371">
        <v>1.06</v>
      </c>
      <c r="H3" s="371">
        <v>1.06</v>
      </c>
      <c r="I3" s="371">
        <v>1.07</v>
      </c>
      <c r="J3" s="371">
        <v>1.07</v>
      </c>
      <c r="K3" s="371">
        <v>1.08</v>
      </c>
      <c r="L3" s="372">
        <v>20</v>
      </c>
      <c r="N3" s="370">
        <v>20</v>
      </c>
      <c r="O3" s="371">
        <v>1.06</v>
      </c>
      <c r="P3" s="371">
        <v>1.06</v>
      </c>
      <c r="Q3" s="371">
        <v>1.07</v>
      </c>
      <c r="R3" s="371">
        <v>1.07</v>
      </c>
      <c r="S3" s="371">
        <v>1.08</v>
      </c>
      <c r="T3" s="371">
        <v>1.08</v>
      </c>
      <c r="U3" s="371">
        <v>1.0900000000000001</v>
      </c>
      <c r="V3" s="371">
        <v>1.0900000000000001</v>
      </c>
      <c r="W3" s="371">
        <v>1.1000000000000001</v>
      </c>
      <c r="X3" s="371">
        <v>1.1100000000000001</v>
      </c>
      <c r="Y3" s="372">
        <v>20</v>
      </c>
    </row>
    <row r="4" spans="1:25">
      <c r="A4" s="370">
        <v>30</v>
      </c>
      <c r="B4" s="371">
        <v>1.08</v>
      </c>
      <c r="C4" s="371">
        <v>1.0900000000000001</v>
      </c>
      <c r="D4" s="371">
        <v>1.0900000000000001</v>
      </c>
      <c r="E4" s="371">
        <v>1.1000000000000001</v>
      </c>
      <c r="F4" s="371">
        <v>1.1000000000000001</v>
      </c>
      <c r="G4" s="371">
        <v>1.1100000000000001</v>
      </c>
      <c r="H4" s="371">
        <v>1.1100000000000001</v>
      </c>
      <c r="I4" s="371">
        <v>1.1200000000000001</v>
      </c>
      <c r="J4" s="371">
        <v>1.1299999999999999</v>
      </c>
      <c r="K4" s="371">
        <v>1.1299999999999999</v>
      </c>
      <c r="L4" s="372">
        <v>30</v>
      </c>
      <c r="N4" s="370">
        <v>30</v>
      </c>
      <c r="O4" s="371">
        <v>1.1100000000000001</v>
      </c>
      <c r="P4" s="371">
        <v>1.1200000000000001</v>
      </c>
      <c r="Q4" s="371">
        <v>1.1200000000000001</v>
      </c>
      <c r="R4" s="371">
        <v>1.1299999999999999</v>
      </c>
      <c r="S4" s="371">
        <v>1.1399999999999999</v>
      </c>
      <c r="T4" s="371">
        <v>1.1499999999999999</v>
      </c>
      <c r="U4" s="371">
        <v>1.1499999999999999</v>
      </c>
      <c r="V4" s="371">
        <v>1.1599999999999999</v>
      </c>
      <c r="W4" s="371">
        <v>1.17</v>
      </c>
      <c r="X4" s="371">
        <v>1.18</v>
      </c>
      <c r="Y4" s="372">
        <v>30</v>
      </c>
    </row>
    <row r="5" spans="1:25">
      <c r="A5" s="370">
        <v>40</v>
      </c>
      <c r="B5" s="371">
        <v>1.1399999999999999</v>
      </c>
      <c r="C5" s="371">
        <v>1.1399999999999999</v>
      </c>
      <c r="D5" s="371">
        <v>1.1499999999999999</v>
      </c>
      <c r="E5" s="371">
        <v>1.1599999999999999</v>
      </c>
      <c r="F5" s="371">
        <v>1.1599999999999999</v>
      </c>
      <c r="G5" s="371">
        <v>1.17</v>
      </c>
      <c r="H5" s="371">
        <v>1.18</v>
      </c>
      <c r="I5" s="371">
        <v>1.19</v>
      </c>
      <c r="J5" s="371">
        <v>1.19</v>
      </c>
      <c r="K5" s="371">
        <v>1.2</v>
      </c>
      <c r="L5" s="372">
        <v>40</v>
      </c>
      <c r="N5" s="370">
        <v>40</v>
      </c>
      <c r="O5" s="371">
        <v>1.19</v>
      </c>
      <c r="P5" s="371">
        <v>1.19</v>
      </c>
      <c r="Q5" s="371">
        <v>1.2</v>
      </c>
      <c r="R5" s="371">
        <v>1.21</v>
      </c>
      <c r="S5" s="371">
        <v>1.22</v>
      </c>
      <c r="T5" s="371">
        <v>1.23</v>
      </c>
      <c r="U5" s="371">
        <v>1.24</v>
      </c>
      <c r="V5" s="371">
        <v>1.25</v>
      </c>
      <c r="W5" s="371">
        <v>1.26</v>
      </c>
      <c r="X5" s="371">
        <v>1.27</v>
      </c>
      <c r="Y5" s="372">
        <v>40</v>
      </c>
    </row>
    <row r="6" spans="1:25">
      <c r="A6" s="370">
        <v>50</v>
      </c>
      <c r="B6" s="371">
        <v>1.21</v>
      </c>
      <c r="C6" s="371">
        <v>1.22</v>
      </c>
      <c r="D6" s="371">
        <v>1.23</v>
      </c>
      <c r="E6" s="371">
        <v>1.23</v>
      </c>
      <c r="F6" s="371">
        <v>1.24</v>
      </c>
      <c r="G6" s="371">
        <v>1.25</v>
      </c>
      <c r="H6" s="371">
        <v>1.26</v>
      </c>
      <c r="I6" s="371">
        <v>1.27</v>
      </c>
      <c r="J6" s="371">
        <v>1.28</v>
      </c>
      <c r="K6" s="371">
        <v>1.29</v>
      </c>
      <c r="L6" s="372">
        <v>50</v>
      </c>
      <c r="N6" s="370">
        <v>50</v>
      </c>
      <c r="O6" s="371">
        <v>1.28</v>
      </c>
      <c r="P6" s="371">
        <v>1.3</v>
      </c>
      <c r="Q6" s="371">
        <v>1.31</v>
      </c>
      <c r="R6" s="371">
        <v>1.32</v>
      </c>
      <c r="S6" s="371">
        <v>1.33</v>
      </c>
      <c r="T6" s="371">
        <v>1.35</v>
      </c>
      <c r="U6" s="371">
        <v>1.36</v>
      </c>
      <c r="V6" s="371">
        <v>1.37</v>
      </c>
      <c r="W6" s="371">
        <v>1.39</v>
      </c>
      <c r="X6" s="371">
        <v>1.4</v>
      </c>
      <c r="Y6" s="372">
        <v>50</v>
      </c>
    </row>
    <row r="7" spans="1:25">
      <c r="A7" s="370">
        <v>60</v>
      </c>
      <c r="B7" s="371">
        <v>1.3</v>
      </c>
      <c r="C7" s="371">
        <v>1.31</v>
      </c>
      <c r="D7" s="371">
        <v>1.32</v>
      </c>
      <c r="E7" s="371">
        <v>1.33</v>
      </c>
      <c r="F7" s="371">
        <v>1.34</v>
      </c>
      <c r="G7" s="371">
        <v>1.35</v>
      </c>
      <c r="H7" s="371">
        <v>1.36</v>
      </c>
      <c r="I7" s="371">
        <v>1.37</v>
      </c>
      <c r="J7" s="371">
        <v>1.39</v>
      </c>
      <c r="K7" s="371">
        <v>1.4</v>
      </c>
      <c r="L7" s="372">
        <v>60</v>
      </c>
      <c r="N7" s="370">
        <v>60</v>
      </c>
      <c r="O7" s="371">
        <v>1.41</v>
      </c>
      <c r="P7" s="371">
        <v>1.43</v>
      </c>
      <c r="Q7" s="371">
        <v>1.44</v>
      </c>
      <c r="R7" s="371">
        <v>1.46</v>
      </c>
      <c r="S7" s="371">
        <v>1.48</v>
      </c>
      <c r="T7" s="371">
        <v>1.49</v>
      </c>
      <c r="U7" s="371">
        <v>1.51</v>
      </c>
      <c r="V7" s="371">
        <v>1.53</v>
      </c>
      <c r="W7" s="371">
        <v>1.54</v>
      </c>
      <c r="X7" s="371">
        <v>1.56</v>
      </c>
      <c r="Y7" s="372">
        <v>60</v>
      </c>
    </row>
    <row r="8" spans="1:25">
      <c r="A8" s="370">
        <v>70</v>
      </c>
      <c r="B8" s="371">
        <v>1.41</v>
      </c>
      <c r="C8" s="371">
        <v>1.42</v>
      </c>
      <c r="D8" s="371">
        <v>1.44</v>
      </c>
      <c r="E8" s="371">
        <v>1.45</v>
      </c>
      <c r="F8" s="371">
        <v>1.46</v>
      </c>
      <c r="G8" s="371">
        <v>1.48</v>
      </c>
      <c r="H8" s="371">
        <v>1.49</v>
      </c>
      <c r="I8" s="371">
        <v>1.5</v>
      </c>
      <c r="J8" s="371">
        <v>1.52</v>
      </c>
      <c r="K8" s="371">
        <v>1.53</v>
      </c>
      <c r="L8" s="372">
        <v>70</v>
      </c>
      <c r="N8" s="370">
        <v>70</v>
      </c>
      <c r="O8" s="371">
        <v>1.58</v>
      </c>
      <c r="P8" s="371">
        <v>1.6</v>
      </c>
      <c r="Q8" s="371">
        <v>1.62</v>
      </c>
      <c r="R8" s="371">
        <v>1.64</v>
      </c>
      <c r="S8" s="371">
        <v>1.66</v>
      </c>
      <c r="T8" s="371">
        <v>1.68</v>
      </c>
      <c r="U8" s="371">
        <v>1.7</v>
      </c>
      <c r="V8" s="371">
        <v>1.72</v>
      </c>
      <c r="W8" s="371">
        <v>1.74</v>
      </c>
      <c r="X8" s="371">
        <v>1.77</v>
      </c>
      <c r="Y8" s="372">
        <v>70</v>
      </c>
    </row>
    <row r="9" spans="1:25">
      <c r="A9" s="370">
        <v>80</v>
      </c>
      <c r="B9" s="371">
        <v>1.55</v>
      </c>
      <c r="C9" s="371">
        <v>1.56</v>
      </c>
      <c r="D9" s="371">
        <v>1.58</v>
      </c>
      <c r="E9" s="371">
        <v>1.59</v>
      </c>
      <c r="F9" s="371">
        <v>1.61</v>
      </c>
      <c r="G9" s="371">
        <v>1.62</v>
      </c>
      <c r="H9" s="371">
        <v>1.64</v>
      </c>
      <c r="I9" s="371">
        <v>1.66</v>
      </c>
      <c r="J9" s="371">
        <v>1.68</v>
      </c>
      <c r="K9" s="371">
        <v>1.69</v>
      </c>
      <c r="L9" s="372">
        <v>80</v>
      </c>
      <c r="N9" s="370">
        <v>80</v>
      </c>
      <c r="O9" s="371">
        <v>1.79</v>
      </c>
      <c r="P9" s="371">
        <v>1.81</v>
      </c>
      <c r="Q9" s="371">
        <v>1.83</v>
      </c>
      <c r="R9" s="371">
        <v>1.86</v>
      </c>
      <c r="S9" s="371">
        <v>1.88</v>
      </c>
      <c r="T9" s="371">
        <v>1.91</v>
      </c>
      <c r="U9" s="371">
        <v>1.93</v>
      </c>
      <c r="V9" s="371">
        <v>1.95</v>
      </c>
      <c r="W9" s="371">
        <v>1.98</v>
      </c>
      <c r="X9" s="371">
        <v>2.0099999999999998</v>
      </c>
      <c r="Y9" s="372">
        <v>80</v>
      </c>
    </row>
    <row r="10" spans="1:25">
      <c r="A10" s="370">
        <v>90</v>
      </c>
      <c r="B10" s="371">
        <v>1.71</v>
      </c>
      <c r="C10" s="371">
        <v>1.73</v>
      </c>
      <c r="D10" s="371">
        <v>1.74</v>
      </c>
      <c r="E10" s="371">
        <v>1.76</v>
      </c>
      <c r="F10" s="371">
        <v>1.78</v>
      </c>
      <c r="G10" s="371">
        <v>1.8</v>
      </c>
      <c r="H10" s="371">
        <v>1.82</v>
      </c>
      <c r="I10" s="371">
        <v>1.84</v>
      </c>
      <c r="J10" s="371">
        <v>1.86</v>
      </c>
      <c r="K10" s="371">
        <v>1.88</v>
      </c>
      <c r="L10" s="372">
        <v>90</v>
      </c>
      <c r="N10" s="370">
        <v>90</v>
      </c>
      <c r="O10" s="371">
        <v>2.0499999999999998</v>
      </c>
      <c r="P10" s="371">
        <v>2.1</v>
      </c>
      <c r="Q10" s="371">
        <v>2.1</v>
      </c>
      <c r="R10" s="371">
        <v>2.19</v>
      </c>
      <c r="S10" s="371">
        <v>2.2400000000000002</v>
      </c>
      <c r="T10" s="371">
        <v>2.29</v>
      </c>
      <c r="U10" s="371">
        <v>2.33</v>
      </c>
      <c r="V10" s="371">
        <v>2.38</v>
      </c>
      <c r="W10" s="371">
        <v>2.4300000000000002</v>
      </c>
      <c r="X10" s="371">
        <v>2.48</v>
      </c>
      <c r="Y10" s="372">
        <v>90</v>
      </c>
    </row>
    <row r="11" spans="1:25">
      <c r="A11" s="370">
        <v>100</v>
      </c>
      <c r="B11" s="371">
        <v>1.9</v>
      </c>
      <c r="C11" s="371">
        <v>1.92</v>
      </c>
      <c r="D11" s="371">
        <v>1.94</v>
      </c>
      <c r="E11" s="371">
        <v>1.96</v>
      </c>
      <c r="F11" s="371">
        <v>1.98</v>
      </c>
      <c r="G11" s="371">
        <v>2</v>
      </c>
      <c r="H11" s="371">
        <v>2.02</v>
      </c>
      <c r="I11" s="371">
        <v>2.0499999999999998</v>
      </c>
      <c r="J11" s="371">
        <v>2.0699999999999998</v>
      </c>
      <c r="K11" s="371">
        <v>2.09</v>
      </c>
      <c r="L11" s="372">
        <v>100</v>
      </c>
      <c r="N11" s="370">
        <v>100</v>
      </c>
      <c r="O11" s="371">
        <v>2.5299999999999998</v>
      </c>
      <c r="P11" s="371">
        <v>2.58</v>
      </c>
      <c r="Q11" s="371">
        <v>2.64</v>
      </c>
      <c r="R11" s="371">
        <v>2.69</v>
      </c>
      <c r="S11" s="371">
        <v>2.74</v>
      </c>
      <c r="T11" s="371">
        <v>2.79</v>
      </c>
      <c r="U11" s="371">
        <v>2.85</v>
      </c>
      <c r="V11" s="371">
        <v>2.9</v>
      </c>
      <c r="W11" s="371">
        <v>2.95</v>
      </c>
      <c r="X11" s="371">
        <v>3.01</v>
      </c>
      <c r="Y11" s="372">
        <v>100</v>
      </c>
    </row>
    <row r="12" spans="1:25">
      <c r="A12" s="370">
        <v>110</v>
      </c>
      <c r="B12" s="371">
        <v>2.11</v>
      </c>
      <c r="C12" s="371">
        <v>2.14</v>
      </c>
      <c r="D12" s="371">
        <v>2.16</v>
      </c>
      <c r="E12" s="371">
        <v>2.1800000000000002</v>
      </c>
      <c r="F12" s="371">
        <v>2.21</v>
      </c>
      <c r="G12" s="371">
        <v>2.23</v>
      </c>
      <c r="H12" s="371">
        <v>2.27</v>
      </c>
      <c r="I12" s="371">
        <v>2.31</v>
      </c>
      <c r="J12" s="371">
        <v>2.35</v>
      </c>
      <c r="K12" s="371">
        <v>2.39</v>
      </c>
      <c r="L12" s="372">
        <v>110</v>
      </c>
      <c r="N12" s="370">
        <v>110</v>
      </c>
      <c r="O12" s="371">
        <v>3.06</v>
      </c>
      <c r="P12" s="371">
        <v>3.12</v>
      </c>
      <c r="Q12" s="371">
        <v>3.18</v>
      </c>
      <c r="R12" s="371">
        <v>3.23</v>
      </c>
      <c r="S12" s="371">
        <v>3.29</v>
      </c>
      <c r="T12" s="371">
        <v>3.35</v>
      </c>
      <c r="U12" s="371">
        <v>3.41</v>
      </c>
      <c r="V12" s="371">
        <v>3.47</v>
      </c>
      <c r="W12" s="371">
        <v>3.53</v>
      </c>
      <c r="X12" s="371">
        <v>3.59</v>
      </c>
      <c r="Y12" s="372">
        <v>110</v>
      </c>
    </row>
    <row r="13" spans="1:25">
      <c r="A13" s="370">
        <v>120</v>
      </c>
      <c r="B13" s="371">
        <v>2.4300000000000002</v>
      </c>
      <c r="C13" s="371">
        <v>2.4700000000000002</v>
      </c>
      <c r="D13" s="371">
        <v>2.5099999999999998</v>
      </c>
      <c r="E13" s="371">
        <v>2.5499999999999998</v>
      </c>
      <c r="F13" s="371">
        <v>2.6</v>
      </c>
      <c r="G13" s="371">
        <v>2.64</v>
      </c>
      <c r="H13" s="371">
        <v>2.68</v>
      </c>
      <c r="I13" s="371">
        <v>2.72</v>
      </c>
      <c r="J13" s="371">
        <v>2.77</v>
      </c>
      <c r="K13" s="371">
        <v>2.81</v>
      </c>
      <c r="L13" s="372">
        <v>120</v>
      </c>
      <c r="N13" s="370">
        <v>120</v>
      </c>
      <c r="O13" s="371">
        <v>3.65</v>
      </c>
      <c r="P13" s="371">
        <v>3.71</v>
      </c>
      <c r="Q13" s="371">
        <v>3.77</v>
      </c>
      <c r="R13" s="371">
        <v>3.83</v>
      </c>
      <c r="S13" s="371">
        <v>3.89</v>
      </c>
      <c r="T13" s="371">
        <v>3.96</v>
      </c>
      <c r="U13" s="371">
        <v>4.0199999999999996</v>
      </c>
      <c r="V13" s="371">
        <v>4.09</v>
      </c>
      <c r="W13" s="371">
        <v>4.1500000000000004</v>
      </c>
      <c r="X13" s="371">
        <v>4.22</v>
      </c>
      <c r="Y13" s="372">
        <v>120</v>
      </c>
    </row>
    <row r="14" spans="1:25">
      <c r="A14" s="370">
        <v>130</v>
      </c>
      <c r="B14" s="371">
        <v>2.85</v>
      </c>
      <c r="C14" s="371">
        <v>2.9</v>
      </c>
      <c r="D14" s="371">
        <v>2.94</v>
      </c>
      <c r="E14" s="371">
        <v>2.99</v>
      </c>
      <c r="F14" s="371">
        <v>3.03</v>
      </c>
      <c r="G14" s="371">
        <v>3.08</v>
      </c>
      <c r="H14" s="371">
        <v>3.12</v>
      </c>
      <c r="I14" s="371">
        <v>3.17</v>
      </c>
      <c r="J14" s="371">
        <v>3.22</v>
      </c>
      <c r="K14" s="371">
        <v>3.26</v>
      </c>
      <c r="L14" s="372">
        <v>130</v>
      </c>
      <c r="N14" s="370">
        <v>130</v>
      </c>
      <c r="O14" s="371">
        <v>4.28</v>
      </c>
      <c r="P14" s="371">
        <v>4.3499999999999996</v>
      </c>
      <c r="Q14" s="371">
        <v>4.41</v>
      </c>
      <c r="R14" s="371">
        <v>4.4800000000000004</v>
      </c>
      <c r="S14" s="371">
        <v>4.55</v>
      </c>
      <c r="T14" s="371">
        <v>4.62</v>
      </c>
      <c r="U14" s="371">
        <v>4.6900000000000004</v>
      </c>
      <c r="V14" s="371">
        <v>4.75</v>
      </c>
      <c r="W14" s="371">
        <v>4.82</v>
      </c>
      <c r="X14" s="371">
        <v>4.8899999999999997</v>
      </c>
      <c r="Y14" s="372">
        <v>130</v>
      </c>
    </row>
    <row r="15" spans="1:25">
      <c r="A15" s="370">
        <v>140</v>
      </c>
      <c r="B15" s="371">
        <v>3.31</v>
      </c>
      <c r="C15" s="371">
        <v>3.36</v>
      </c>
      <c r="D15" s="371">
        <v>3.41</v>
      </c>
      <c r="E15" s="371">
        <v>3.45</v>
      </c>
      <c r="F15" s="371">
        <v>3.5</v>
      </c>
      <c r="G15" s="371">
        <v>3.55</v>
      </c>
      <c r="H15" s="371">
        <v>3.6</v>
      </c>
      <c r="I15" s="371">
        <v>3.65</v>
      </c>
      <c r="J15" s="371">
        <v>3.7</v>
      </c>
      <c r="K15" s="371">
        <v>3.75</v>
      </c>
      <c r="L15" s="372">
        <v>140</v>
      </c>
      <c r="N15" s="370">
        <v>140</v>
      </c>
      <c r="O15" s="371">
        <v>4.96</v>
      </c>
      <c r="P15" s="371">
        <v>5.04</v>
      </c>
      <c r="Q15" s="371">
        <v>5.1100000000000003</v>
      </c>
      <c r="R15" s="371">
        <v>5.18</v>
      </c>
      <c r="S15" s="371">
        <v>5.25</v>
      </c>
      <c r="T15" s="371">
        <v>5.33</v>
      </c>
      <c r="U15" s="371">
        <v>5.4</v>
      </c>
      <c r="V15" s="371">
        <v>5.47</v>
      </c>
      <c r="W15" s="371">
        <v>5.55</v>
      </c>
      <c r="X15" s="371">
        <v>5.62</v>
      </c>
      <c r="Y15" s="372">
        <v>140</v>
      </c>
    </row>
    <row r="16" spans="1:25">
      <c r="A16" s="370">
        <v>150</v>
      </c>
      <c r="B16" s="371">
        <v>3.8</v>
      </c>
      <c r="C16" s="371">
        <v>3.85</v>
      </c>
      <c r="D16" s="371">
        <v>3.9</v>
      </c>
      <c r="E16" s="371">
        <v>3.95</v>
      </c>
      <c r="F16" s="371">
        <v>4</v>
      </c>
      <c r="G16" s="371">
        <v>4.0599999999999996</v>
      </c>
      <c r="H16" s="371">
        <v>4.1100000000000003</v>
      </c>
      <c r="I16" s="371">
        <v>4.16</v>
      </c>
      <c r="J16" s="371">
        <v>4.22</v>
      </c>
      <c r="K16" s="371">
        <v>4.2699999999999996</v>
      </c>
      <c r="L16" s="372">
        <v>150</v>
      </c>
      <c r="N16" s="370">
        <v>150</v>
      </c>
      <c r="O16" s="371">
        <v>5.7</v>
      </c>
      <c r="P16" s="371">
        <v>5.78</v>
      </c>
      <c r="Q16" s="371">
        <v>5.85</v>
      </c>
      <c r="R16" s="371">
        <v>5.93</v>
      </c>
      <c r="S16" s="371">
        <v>6.01</v>
      </c>
      <c r="T16" s="371">
        <v>6.09</v>
      </c>
      <c r="U16" s="371">
        <v>6.16</v>
      </c>
      <c r="V16" s="371">
        <v>6.24</v>
      </c>
      <c r="W16" s="371">
        <v>6.32</v>
      </c>
      <c r="X16" s="371">
        <v>6.4</v>
      </c>
      <c r="Y16" s="372">
        <v>150</v>
      </c>
    </row>
    <row r="17" spans="1:25">
      <c r="A17" s="370">
        <v>160</v>
      </c>
      <c r="B17" s="371">
        <v>4.32</v>
      </c>
      <c r="C17" s="371">
        <v>4.38</v>
      </c>
      <c r="D17" s="371">
        <v>4.43</v>
      </c>
      <c r="E17" s="371">
        <v>4.49</v>
      </c>
      <c r="F17" s="371">
        <v>4.54</v>
      </c>
      <c r="G17" s="371">
        <v>4.5999999999999996</v>
      </c>
      <c r="H17" s="371">
        <v>4.6500000000000004</v>
      </c>
      <c r="I17" s="371">
        <v>4.71</v>
      </c>
      <c r="J17" s="371">
        <v>4.7699999999999996</v>
      </c>
      <c r="K17" s="371">
        <v>4.82</v>
      </c>
      <c r="L17" s="372">
        <v>160</v>
      </c>
      <c r="N17" s="370">
        <v>160</v>
      </c>
      <c r="O17" s="371">
        <v>6.48</v>
      </c>
      <c r="P17" s="371">
        <v>6.57</v>
      </c>
      <c r="Q17" s="371">
        <v>6.65</v>
      </c>
      <c r="R17" s="371">
        <v>6.73</v>
      </c>
      <c r="S17" s="371">
        <v>6.81</v>
      </c>
      <c r="T17" s="371">
        <v>6.9</v>
      </c>
      <c r="U17" s="371">
        <v>6.98</v>
      </c>
      <c r="V17" s="371">
        <v>7.06</v>
      </c>
      <c r="W17" s="371">
        <v>7.15</v>
      </c>
      <c r="X17" s="371">
        <v>7.23</v>
      </c>
      <c r="Y17" s="372">
        <v>160</v>
      </c>
    </row>
    <row r="18" spans="1:25">
      <c r="A18" s="370">
        <v>170</v>
      </c>
      <c r="B18" s="371">
        <v>4.88</v>
      </c>
      <c r="C18" s="371">
        <v>4.9400000000000004</v>
      </c>
      <c r="D18" s="371">
        <v>5</v>
      </c>
      <c r="E18" s="371">
        <v>5.05</v>
      </c>
      <c r="F18" s="371">
        <v>5.1100000000000003</v>
      </c>
      <c r="G18" s="371">
        <v>5.17</v>
      </c>
      <c r="H18" s="371">
        <v>5.23</v>
      </c>
      <c r="I18" s="371">
        <v>5.29</v>
      </c>
      <c r="J18" s="371">
        <v>5.35</v>
      </c>
      <c r="K18" s="371">
        <v>5.41</v>
      </c>
      <c r="L18" s="372">
        <v>170</v>
      </c>
      <c r="N18" s="370">
        <v>170</v>
      </c>
      <c r="O18" s="371">
        <v>7.32</v>
      </c>
      <c r="P18" s="371">
        <v>7.41</v>
      </c>
      <c r="Q18" s="371">
        <v>7.49</v>
      </c>
      <c r="R18" s="371">
        <v>7.58</v>
      </c>
      <c r="S18" s="371">
        <v>7.67</v>
      </c>
      <c r="T18" s="371">
        <v>7.76</v>
      </c>
      <c r="U18" s="371">
        <v>7.85</v>
      </c>
      <c r="V18" s="371">
        <v>7.94</v>
      </c>
      <c r="W18" s="371">
        <v>8.0299999999999994</v>
      </c>
      <c r="X18" s="371">
        <v>8.1199999999999992</v>
      </c>
      <c r="Y18" s="372">
        <v>170</v>
      </c>
    </row>
    <row r="19" spans="1:25">
      <c r="A19" s="370">
        <v>180</v>
      </c>
      <c r="B19" s="371">
        <v>5.47</v>
      </c>
      <c r="C19" s="371">
        <v>5.53</v>
      </c>
      <c r="D19" s="371">
        <v>5.59</v>
      </c>
      <c r="E19" s="371">
        <v>5.66</v>
      </c>
      <c r="F19" s="371">
        <v>5.72</v>
      </c>
      <c r="G19" s="371">
        <v>5.78</v>
      </c>
      <c r="H19" s="371">
        <v>5.84</v>
      </c>
      <c r="I19" s="371">
        <v>5.91</v>
      </c>
      <c r="J19" s="371">
        <v>5.97</v>
      </c>
      <c r="K19" s="371">
        <v>6.03</v>
      </c>
      <c r="L19" s="372">
        <v>180</v>
      </c>
      <c r="N19" s="370">
        <v>180</v>
      </c>
      <c r="O19" s="371">
        <v>8.2100000000000009</v>
      </c>
      <c r="P19" s="371">
        <v>8.3000000000000007</v>
      </c>
      <c r="Q19" s="371">
        <v>8.39</v>
      </c>
      <c r="R19" s="371">
        <v>8.48</v>
      </c>
      <c r="S19" s="371">
        <v>8.58</v>
      </c>
      <c r="T19" s="371">
        <v>8.67</v>
      </c>
      <c r="U19" s="371">
        <v>8.76</v>
      </c>
      <c r="V19" s="371">
        <v>8.86</v>
      </c>
      <c r="W19" s="371">
        <v>8.9499999999999993</v>
      </c>
      <c r="X19" s="371">
        <v>9.0500000000000007</v>
      </c>
      <c r="Y19" s="372">
        <v>180</v>
      </c>
    </row>
    <row r="20" spans="1:25">
      <c r="A20" s="370">
        <v>190</v>
      </c>
      <c r="B20" s="371">
        <v>6.1</v>
      </c>
      <c r="C20" s="371">
        <v>6.16</v>
      </c>
      <c r="D20" s="371">
        <v>6.23</v>
      </c>
      <c r="E20" s="371">
        <v>6.29</v>
      </c>
      <c r="F20" s="371">
        <v>6.36</v>
      </c>
      <c r="G20" s="371">
        <v>6.42</v>
      </c>
      <c r="H20" s="371">
        <v>6.49</v>
      </c>
      <c r="I20" s="371">
        <v>6.55</v>
      </c>
      <c r="J20" s="371">
        <v>6.62</v>
      </c>
      <c r="K20" s="371">
        <v>6.69</v>
      </c>
      <c r="L20" s="372">
        <v>190</v>
      </c>
      <c r="N20" s="370">
        <v>190</v>
      </c>
      <c r="O20" s="371">
        <v>9.14</v>
      </c>
      <c r="P20" s="371">
        <v>9.24</v>
      </c>
      <c r="Q20" s="371">
        <v>9.34</v>
      </c>
      <c r="R20" s="371">
        <v>9.44</v>
      </c>
      <c r="S20" s="371">
        <v>9.5299999999999994</v>
      </c>
      <c r="T20" s="371">
        <v>9.6300000000000008</v>
      </c>
      <c r="U20" s="371">
        <v>9.73</v>
      </c>
      <c r="V20" s="371">
        <v>9.83</v>
      </c>
      <c r="W20" s="371">
        <v>9.93</v>
      </c>
      <c r="X20" s="371">
        <v>10.029999999999999</v>
      </c>
      <c r="Y20" s="372">
        <v>190</v>
      </c>
    </row>
    <row r="21" spans="1:25">
      <c r="A21" s="370">
        <v>200</v>
      </c>
      <c r="B21" s="371">
        <v>6.75</v>
      </c>
      <c r="C21" s="371">
        <v>6.82</v>
      </c>
      <c r="D21" s="371">
        <v>6.89</v>
      </c>
      <c r="E21" s="371">
        <v>6.96</v>
      </c>
      <c r="F21" s="371">
        <v>7.03</v>
      </c>
      <c r="G21" s="371">
        <v>7.1</v>
      </c>
      <c r="H21" s="371">
        <v>7.17</v>
      </c>
      <c r="I21" s="371">
        <v>7.24</v>
      </c>
      <c r="J21" s="371">
        <v>7.31</v>
      </c>
      <c r="K21" s="371">
        <v>7.38</v>
      </c>
      <c r="L21" s="372">
        <v>200</v>
      </c>
      <c r="N21" s="370">
        <v>200</v>
      </c>
      <c r="O21" s="371">
        <v>10.130000000000001</v>
      </c>
      <c r="P21" s="371">
        <v>10.23</v>
      </c>
      <c r="Q21" s="371">
        <v>10.34</v>
      </c>
      <c r="R21" s="371">
        <v>10.44</v>
      </c>
      <c r="S21" s="371">
        <v>10.54</v>
      </c>
      <c r="T21" s="371">
        <v>10.65</v>
      </c>
      <c r="U21" s="371">
        <v>10.75</v>
      </c>
      <c r="V21" s="371">
        <v>10.85</v>
      </c>
      <c r="W21" s="371">
        <v>10.96</v>
      </c>
      <c r="X21" s="371">
        <v>11.06</v>
      </c>
      <c r="Y21" s="372">
        <v>200</v>
      </c>
    </row>
    <row r="22" spans="1:25">
      <c r="A22" s="370">
        <v>210</v>
      </c>
      <c r="B22" s="371">
        <v>7.45</v>
      </c>
      <c r="C22" s="371">
        <v>7.52</v>
      </c>
      <c r="D22" s="371">
        <v>7.59</v>
      </c>
      <c r="E22" s="371">
        <v>7.66</v>
      </c>
      <c r="F22" s="371">
        <v>7.73</v>
      </c>
      <c r="G22" s="371">
        <v>7.81</v>
      </c>
      <c r="H22" s="371">
        <v>7.88</v>
      </c>
      <c r="I22" s="371">
        <v>7.95</v>
      </c>
      <c r="J22" s="371">
        <v>8.0299999999999994</v>
      </c>
      <c r="K22" s="371">
        <v>8.1</v>
      </c>
      <c r="L22" s="372">
        <v>210</v>
      </c>
      <c r="N22" s="370">
        <v>210</v>
      </c>
      <c r="O22" s="371">
        <v>11.17</v>
      </c>
      <c r="P22" s="371">
        <v>11.28</v>
      </c>
      <c r="Q22" s="371">
        <v>11.38</v>
      </c>
      <c r="R22" s="371">
        <v>11.49</v>
      </c>
      <c r="S22" s="371">
        <v>11.6</v>
      </c>
      <c r="T22" s="371">
        <v>11.71</v>
      </c>
      <c r="U22" s="371">
        <v>11.82</v>
      </c>
      <c r="V22" s="371">
        <v>11.93</v>
      </c>
      <c r="W22" s="371">
        <v>12.04</v>
      </c>
      <c r="X22" s="371">
        <v>12.15</v>
      </c>
      <c r="Y22" s="372">
        <v>210</v>
      </c>
    </row>
    <row r="23" spans="1:25">
      <c r="A23" s="370">
        <v>220</v>
      </c>
      <c r="B23" s="371">
        <v>8.17</v>
      </c>
      <c r="C23" s="371">
        <v>8.25</v>
      </c>
      <c r="D23" s="371">
        <v>8.32</v>
      </c>
      <c r="E23" s="371">
        <v>8.4</v>
      </c>
      <c r="F23" s="371">
        <v>8.4700000000000006</v>
      </c>
      <c r="G23" s="371">
        <v>8.5500000000000007</v>
      </c>
      <c r="H23" s="371">
        <v>8.6300000000000008</v>
      </c>
      <c r="I23" s="371">
        <v>8.6999999999999993</v>
      </c>
      <c r="J23" s="371">
        <v>8.7799999999999994</v>
      </c>
      <c r="K23" s="371">
        <v>8.86</v>
      </c>
      <c r="L23" s="372">
        <v>220</v>
      </c>
      <c r="N23" s="370">
        <v>220</v>
      </c>
      <c r="O23" s="371">
        <v>12.26</v>
      </c>
      <c r="P23" s="371">
        <v>12.37</v>
      </c>
      <c r="Q23" s="371">
        <v>12.48</v>
      </c>
      <c r="R23" s="371">
        <v>12.6</v>
      </c>
      <c r="S23" s="371">
        <v>12.71</v>
      </c>
      <c r="T23" s="371">
        <v>12.82</v>
      </c>
      <c r="U23" s="371">
        <v>12.94</v>
      </c>
      <c r="V23" s="371">
        <v>13.05</v>
      </c>
      <c r="W23" s="371">
        <v>13.17</v>
      </c>
      <c r="X23" s="371">
        <v>13.28</v>
      </c>
      <c r="Y23" s="372">
        <v>220</v>
      </c>
    </row>
    <row r="24" spans="1:25">
      <c r="A24" s="370">
        <v>230</v>
      </c>
      <c r="B24" s="371">
        <v>8.93</v>
      </c>
      <c r="C24" s="371">
        <v>9.01</v>
      </c>
      <c r="D24" s="371">
        <v>9.09</v>
      </c>
      <c r="E24" s="371">
        <v>9.17</v>
      </c>
      <c r="F24" s="371">
        <v>9.25</v>
      </c>
      <c r="G24" s="371">
        <v>9.33</v>
      </c>
      <c r="H24" s="371">
        <v>9.41</v>
      </c>
      <c r="I24" s="371">
        <v>9.49</v>
      </c>
      <c r="J24" s="371">
        <v>9.57</v>
      </c>
      <c r="K24" s="371">
        <v>9.65</v>
      </c>
      <c r="L24" s="372">
        <v>230</v>
      </c>
      <c r="N24" s="370">
        <v>230</v>
      </c>
      <c r="O24" s="371">
        <v>13.4</v>
      </c>
      <c r="P24" s="371">
        <v>13.52</v>
      </c>
      <c r="Q24" s="371">
        <v>13.63</v>
      </c>
      <c r="R24" s="371">
        <v>13.75</v>
      </c>
      <c r="S24" s="371">
        <v>13.87</v>
      </c>
      <c r="T24" s="371">
        <v>13.99</v>
      </c>
      <c r="U24" s="371">
        <v>14.11</v>
      </c>
      <c r="V24" s="371">
        <v>14.23</v>
      </c>
      <c r="W24" s="371">
        <v>14.35</v>
      </c>
      <c r="X24" s="371">
        <v>14.47</v>
      </c>
      <c r="Y24" s="372">
        <v>230</v>
      </c>
    </row>
    <row r="25" spans="1:25">
      <c r="A25" s="370">
        <v>240</v>
      </c>
      <c r="B25" s="371">
        <v>9.73</v>
      </c>
      <c r="C25" s="371">
        <v>9.81</v>
      </c>
      <c r="D25" s="371">
        <v>9.89</v>
      </c>
      <c r="E25" s="371">
        <v>9.9700000000000006</v>
      </c>
      <c r="F25" s="371">
        <v>10.050000000000001</v>
      </c>
      <c r="G25" s="371">
        <v>10.14</v>
      </c>
      <c r="H25" s="371">
        <v>10.220000000000001</v>
      </c>
      <c r="I25" s="371">
        <v>10.3</v>
      </c>
      <c r="J25" s="371">
        <v>10.39</v>
      </c>
      <c r="K25" s="371">
        <v>10.47</v>
      </c>
      <c r="L25" s="372">
        <v>240</v>
      </c>
      <c r="N25" s="370">
        <v>240</v>
      </c>
      <c r="O25" s="371">
        <v>14.59</v>
      </c>
      <c r="P25" s="371">
        <v>14.71</v>
      </c>
      <c r="Q25" s="371">
        <v>14.83</v>
      </c>
      <c r="R25" s="371">
        <v>14.96</v>
      </c>
      <c r="S25" s="371">
        <v>15.08</v>
      </c>
      <c r="T25" s="371">
        <v>15.2</v>
      </c>
      <c r="U25" s="371">
        <v>15.33</v>
      </c>
      <c r="V25" s="371">
        <v>15.45</v>
      </c>
      <c r="W25" s="371">
        <v>15.58</v>
      </c>
      <c r="X25" s="371">
        <v>15.71</v>
      </c>
      <c r="Y25" s="372">
        <v>240</v>
      </c>
    </row>
    <row r="26" spans="1:25" ht="13.8" thickBot="1">
      <c r="A26" s="373">
        <v>250</v>
      </c>
      <c r="B26" s="374">
        <v>10.55</v>
      </c>
      <c r="C26" s="374"/>
      <c r="D26" s="374"/>
      <c r="E26" s="374"/>
      <c r="F26" s="374"/>
      <c r="G26" s="374"/>
      <c r="H26" s="374"/>
      <c r="I26" s="374"/>
      <c r="J26" s="374"/>
      <c r="K26" s="374"/>
      <c r="L26" s="375"/>
      <c r="N26" s="373">
        <v>250</v>
      </c>
      <c r="O26" s="374">
        <v>15.83</v>
      </c>
      <c r="P26" s="374"/>
      <c r="Q26" s="374"/>
      <c r="R26" s="374"/>
      <c r="S26" s="374"/>
      <c r="T26" s="374"/>
      <c r="U26" s="374"/>
      <c r="V26" s="374"/>
      <c r="W26" s="374"/>
      <c r="X26" s="374"/>
      <c r="Y26" s="375"/>
    </row>
  </sheetData>
  <sheetProtection password="F946" sheet="1" objects="1" scenarios="1" selectLockedCells="1" selectUnlockedCells="1"/>
  <mergeCells count="2">
    <mergeCell ref="A1:L1"/>
    <mergeCell ref="N1:Y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17"/>
  <sheetViews>
    <sheetView showGridLines="0" rightToLeft="1" topLeftCell="A2" zoomScale="140" zoomScaleNormal="140" workbookViewId="0">
      <selection activeCell="B16" sqref="B16"/>
    </sheetView>
  </sheetViews>
  <sheetFormatPr defaultColWidth="8.83203125" defaultRowHeight="13.2"/>
  <cols>
    <col min="1" max="1" width="2.33203125" style="25" bestFit="1" customWidth="1"/>
    <col min="2" max="2" width="7.58203125" style="25" bestFit="1" customWidth="1"/>
    <col min="3" max="3" width="8.6640625" style="25" bestFit="1" customWidth="1"/>
    <col min="4" max="4" width="5.1640625" style="25" bestFit="1" customWidth="1"/>
    <col min="5" max="13" width="6" style="25" customWidth="1"/>
    <col min="14" max="15" width="8.83203125" style="25"/>
    <col min="16" max="16" width="7.4140625" style="25" bestFit="1" customWidth="1"/>
    <col min="17" max="17" width="3.83203125" style="25" bestFit="1" customWidth="1"/>
    <col min="18" max="16384" width="8.83203125" style="25"/>
  </cols>
  <sheetData>
    <row r="1" spans="1:16">
      <c r="B1" s="446" t="s">
        <v>136</v>
      </c>
      <c r="C1" s="447"/>
      <c r="D1" s="447"/>
      <c r="E1" s="447"/>
      <c r="F1" s="447"/>
      <c r="G1" s="447"/>
      <c r="H1" s="447"/>
      <c r="I1" s="447"/>
      <c r="J1" s="447"/>
      <c r="K1" s="447"/>
      <c r="L1" s="448"/>
      <c r="M1" s="449"/>
      <c r="N1" s="27"/>
    </row>
    <row r="2" spans="1:16" ht="15.6">
      <c r="B2" s="28" t="s">
        <v>137</v>
      </c>
      <c r="C2" s="29" t="s">
        <v>138</v>
      </c>
      <c r="D2" s="29" t="s">
        <v>139</v>
      </c>
      <c r="E2" s="29" t="s">
        <v>140</v>
      </c>
      <c r="F2" s="30" t="s">
        <v>141</v>
      </c>
      <c r="G2" s="29" t="s">
        <v>142</v>
      </c>
      <c r="H2" s="29" t="s">
        <v>143</v>
      </c>
      <c r="I2" s="29" t="s">
        <v>144</v>
      </c>
      <c r="J2" s="29" t="s">
        <v>145</v>
      </c>
      <c r="K2" s="29" t="s">
        <v>146</v>
      </c>
      <c r="L2" s="31" t="s">
        <v>147</v>
      </c>
      <c r="M2" s="32" t="s">
        <v>148</v>
      </c>
      <c r="N2" s="33"/>
    </row>
    <row r="3" spans="1:16" ht="13.8" thickBot="1">
      <c r="B3" s="34"/>
      <c r="C3" s="35" t="s">
        <v>22</v>
      </c>
      <c r="D3" s="36" t="s">
        <v>149</v>
      </c>
      <c r="E3" s="36" t="s">
        <v>150</v>
      </c>
      <c r="F3" s="37" t="s">
        <v>22</v>
      </c>
      <c r="G3" s="36" t="s">
        <v>151</v>
      </c>
      <c r="H3" s="36" t="s">
        <v>152</v>
      </c>
      <c r="I3" s="36" t="s">
        <v>12</v>
      </c>
      <c r="J3" s="36" t="s">
        <v>151</v>
      </c>
      <c r="K3" s="36" t="s">
        <v>152</v>
      </c>
      <c r="L3" s="38" t="s">
        <v>12</v>
      </c>
      <c r="M3" s="39" t="s">
        <v>12</v>
      </c>
      <c r="N3" s="33"/>
    </row>
    <row r="4" spans="1:16">
      <c r="A4" s="25">
        <v>1</v>
      </c>
      <c r="B4" s="40" t="s">
        <v>153</v>
      </c>
      <c r="C4" s="41" t="s">
        <v>154</v>
      </c>
      <c r="D4" s="42">
        <v>4.25</v>
      </c>
      <c r="E4" s="42">
        <v>3.34</v>
      </c>
      <c r="F4" s="42">
        <v>5</v>
      </c>
      <c r="G4" s="43">
        <v>8.08</v>
      </c>
      <c r="H4" s="42">
        <v>2.5299999999999998</v>
      </c>
      <c r="I4" s="42">
        <v>1.38</v>
      </c>
      <c r="J4" s="43">
        <v>3.84</v>
      </c>
      <c r="K4" s="42">
        <v>1.71</v>
      </c>
      <c r="L4" s="44">
        <v>0.95</v>
      </c>
      <c r="M4" s="45">
        <f>IF(L4&lt;I4,L4,I4)</f>
        <v>0.95</v>
      </c>
      <c r="N4" s="46"/>
      <c r="O4" s="47"/>
    </row>
    <row r="5" spans="1:16">
      <c r="A5" s="25">
        <v>2</v>
      </c>
      <c r="B5" s="48" t="s">
        <v>155</v>
      </c>
      <c r="C5" s="49" t="s">
        <v>156</v>
      </c>
      <c r="D5" s="50">
        <v>4.75</v>
      </c>
      <c r="E5" s="50">
        <v>3.73</v>
      </c>
      <c r="F5" s="50">
        <v>5</v>
      </c>
      <c r="G5" s="51">
        <v>11.24</v>
      </c>
      <c r="H5" s="50">
        <v>3.15</v>
      </c>
      <c r="I5" s="50">
        <v>1.54</v>
      </c>
      <c r="J5" s="51">
        <v>5.25</v>
      </c>
      <c r="K5" s="50">
        <v>2.1</v>
      </c>
      <c r="L5" s="52">
        <v>1.05</v>
      </c>
      <c r="M5" s="53">
        <f t="shared" ref="M5:M6" si="0">IF(L5&lt;I5,L5,I5)</f>
        <v>1.05</v>
      </c>
      <c r="N5" s="46"/>
      <c r="O5" s="47"/>
    </row>
    <row r="6" spans="1:16">
      <c r="A6" s="25">
        <v>3</v>
      </c>
      <c r="B6" s="48" t="s">
        <v>157</v>
      </c>
      <c r="C6" s="49" t="s">
        <v>158</v>
      </c>
      <c r="D6" s="50">
        <v>9.51</v>
      </c>
      <c r="E6" s="50">
        <v>7.47</v>
      </c>
      <c r="F6" s="50">
        <v>6</v>
      </c>
      <c r="G6" s="51">
        <v>41.3</v>
      </c>
      <c r="H6" s="50">
        <v>9.24</v>
      </c>
      <c r="I6" s="50">
        <v>2.09</v>
      </c>
      <c r="J6" s="51">
        <v>18.649999999999999</v>
      </c>
      <c r="K6" s="50">
        <v>5.35</v>
      </c>
      <c r="L6" s="52">
        <v>1.4</v>
      </c>
      <c r="M6" s="53">
        <f t="shared" si="0"/>
        <v>1.4</v>
      </c>
      <c r="N6" s="46"/>
      <c r="O6" s="47"/>
    </row>
    <row r="7" spans="1:16">
      <c r="A7" s="25">
        <v>4</v>
      </c>
      <c r="B7" s="48" t="s">
        <v>159</v>
      </c>
      <c r="C7" s="49" t="s">
        <v>160</v>
      </c>
      <c r="D7" s="50">
        <v>11.25</v>
      </c>
      <c r="E7" s="50">
        <v>8.83</v>
      </c>
      <c r="F7" s="50">
        <v>7.9</v>
      </c>
      <c r="G7" s="51">
        <v>52.81</v>
      </c>
      <c r="H7" s="50">
        <v>10.79</v>
      </c>
      <c r="I7" s="50">
        <v>2.16</v>
      </c>
      <c r="J7" s="51">
        <v>24.62</v>
      </c>
      <c r="K7" s="50">
        <v>7.02</v>
      </c>
      <c r="L7" s="52">
        <v>1.48</v>
      </c>
      <c r="M7" s="53">
        <f>IF(L7&lt;I7,L7,I7)</f>
        <v>1.48</v>
      </c>
      <c r="N7" s="46"/>
      <c r="O7" s="47"/>
    </row>
    <row r="8" spans="1:16">
      <c r="A8" s="25">
        <v>5</v>
      </c>
      <c r="B8" s="48" t="s">
        <v>161</v>
      </c>
      <c r="C8" s="49" t="s">
        <v>162</v>
      </c>
      <c r="D8" s="50">
        <v>10.9</v>
      </c>
      <c r="E8" s="50">
        <v>8.5500000000000007</v>
      </c>
      <c r="F8" s="50">
        <v>7.5</v>
      </c>
      <c r="G8" s="51">
        <v>49.4</v>
      </c>
      <c r="H8" s="50">
        <v>10.199999999999999</v>
      </c>
      <c r="I8" s="50">
        <v>2.13</v>
      </c>
      <c r="J8" s="51">
        <v>30.5</v>
      </c>
      <c r="K8" s="50">
        <v>7.4</v>
      </c>
      <c r="L8" s="52">
        <v>1.67</v>
      </c>
      <c r="M8" s="53">
        <f t="shared" ref="M8:M16" si="1">IF(L8&lt;I8,L8,I8)</f>
        <v>1.67</v>
      </c>
      <c r="N8" s="46"/>
      <c r="O8" s="47"/>
    </row>
    <row r="9" spans="1:16">
      <c r="A9" s="25">
        <v>6</v>
      </c>
      <c r="B9" s="48" t="s">
        <v>164</v>
      </c>
      <c r="C9" s="49" t="s">
        <v>165</v>
      </c>
      <c r="D9" s="50">
        <v>15.7</v>
      </c>
      <c r="E9" s="50">
        <v>12.3</v>
      </c>
      <c r="F9" s="50">
        <v>10</v>
      </c>
      <c r="G9" s="51">
        <v>59.52</v>
      </c>
      <c r="H9" s="50">
        <v>14.25</v>
      </c>
      <c r="I9" s="50">
        <v>1.95</v>
      </c>
      <c r="J9" s="51">
        <v>52.4</v>
      </c>
      <c r="K9" s="50">
        <v>11.8</v>
      </c>
      <c r="L9" s="52">
        <v>1.83</v>
      </c>
      <c r="M9" s="53">
        <f>IF(L9&lt;I9,L9,I9)</f>
        <v>1.83</v>
      </c>
      <c r="N9" s="46"/>
      <c r="O9" s="47"/>
    </row>
    <row r="10" spans="1:16">
      <c r="A10" s="25">
        <v>7</v>
      </c>
      <c r="B10" s="48" t="s">
        <v>166</v>
      </c>
      <c r="C10" s="49" t="s">
        <v>167</v>
      </c>
      <c r="D10" s="50">
        <v>17.25</v>
      </c>
      <c r="E10" s="50">
        <v>13.55</v>
      </c>
      <c r="F10" s="50">
        <v>10</v>
      </c>
      <c r="G10" s="51">
        <v>102</v>
      </c>
      <c r="H10" s="50">
        <v>20.87</v>
      </c>
      <c r="I10" s="50">
        <v>2.4300000000000002</v>
      </c>
      <c r="J10" s="51">
        <v>52.6</v>
      </c>
      <c r="K10" s="50">
        <v>11.8</v>
      </c>
      <c r="L10" s="52">
        <v>1.75</v>
      </c>
      <c r="M10" s="53">
        <f t="shared" si="1"/>
        <v>1.75</v>
      </c>
      <c r="N10" s="46"/>
      <c r="O10" s="47"/>
      <c r="P10" s="54" t="s">
        <v>163</v>
      </c>
    </row>
    <row r="11" spans="1:16">
      <c r="A11" s="25">
        <v>8</v>
      </c>
      <c r="B11" s="48" t="s">
        <v>168</v>
      </c>
      <c r="C11" s="49" t="s">
        <v>169</v>
      </c>
      <c r="D11" s="50">
        <v>20.85</v>
      </c>
      <c r="E11" s="50">
        <v>16.37</v>
      </c>
      <c r="F11" s="50">
        <v>9.5</v>
      </c>
      <c r="G11" s="51">
        <v>179</v>
      </c>
      <c r="H11" s="50">
        <v>29.7</v>
      </c>
      <c r="I11" s="50">
        <v>2.93</v>
      </c>
      <c r="J11" s="51">
        <v>109</v>
      </c>
      <c r="K11" s="50">
        <v>19.100000000000001</v>
      </c>
      <c r="L11" s="52">
        <v>2.29</v>
      </c>
      <c r="M11" s="53">
        <f t="shared" si="1"/>
        <v>2.29</v>
      </c>
      <c r="N11" s="46"/>
      <c r="O11" s="47"/>
    </row>
    <row r="12" spans="1:16">
      <c r="A12" s="25">
        <v>9</v>
      </c>
      <c r="B12" s="48" t="s">
        <v>170</v>
      </c>
      <c r="C12" s="49" t="s">
        <v>171</v>
      </c>
      <c r="D12" s="50">
        <v>22.83</v>
      </c>
      <c r="E12" s="50">
        <v>17.899999999999999</v>
      </c>
      <c r="F12" s="50">
        <v>10</v>
      </c>
      <c r="G12" s="51">
        <v>151</v>
      </c>
      <c r="H12" s="50">
        <v>26.2</v>
      </c>
      <c r="I12" s="50">
        <v>2.57</v>
      </c>
      <c r="J12" s="51">
        <v>159</v>
      </c>
      <c r="K12" s="50">
        <v>25.4</v>
      </c>
      <c r="L12" s="52">
        <v>2.64</v>
      </c>
      <c r="M12" s="53">
        <f t="shared" si="1"/>
        <v>2.57</v>
      </c>
      <c r="N12" s="46"/>
      <c r="O12" s="47"/>
    </row>
    <row r="13" spans="1:16">
      <c r="A13" s="25">
        <v>10</v>
      </c>
      <c r="B13" s="48" t="s">
        <v>175</v>
      </c>
      <c r="C13" s="49" t="s">
        <v>176</v>
      </c>
      <c r="D13" s="50">
        <v>35.200000000000003</v>
      </c>
      <c r="E13" s="50">
        <v>27.6</v>
      </c>
      <c r="F13" s="50">
        <v>12.7</v>
      </c>
      <c r="G13" s="51">
        <v>404</v>
      </c>
      <c r="H13" s="50">
        <v>53.4</v>
      </c>
      <c r="I13" s="50">
        <v>3.39</v>
      </c>
      <c r="J13" s="51">
        <v>310</v>
      </c>
      <c r="K13" s="50">
        <v>44.3</v>
      </c>
      <c r="L13" s="52">
        <v>2.97</v>
      </c>
      <c r="M13" s="53">
        <f t="shared" si="1"/>
        <v>2.97</v>
      </c>
      <c r="N13" s="46"/>
      <c r="O13" s="47"/>
    </row>
    <row r="14" spans="1:16">
      <c r="A14" s="25">
        <v>11</v>
      </c>
      <c r="B14" s="48" t="s">
        <v>172</v>
      </c>
      <c r="C14" s="49" t="s">
        <v>173</v>
      </c>
      <c r="D14" s="50">
        <v>22.64</v>
      </c>
      <c r="E14" s="50">
        <v>17.77</v>
      </c>
      <c r="F14" s="50">
        <v>10</v>
      </c>
      <c r="G14" s="51">
        <v>186.2</v>
      </c>
      <c r="H14" s="50">
        <v>30.4</v>
      </c>
      <c r="I14" s="50">
        <v>2.87</v>
      </c>
      <c r="J14" s="51">
        <v>148</v>
      </c>
      <c r="K14" s="50">
        <v>23.4</v>
      </c>
      <c r="L14" s="52">
        <v>2.56</v>
      </c>
      <c r="M14" s="53">
        <f t="shared" si="1"/>
        <v>2.56</v>
      </c>
      <c r="N14" s="46"/>
      <c r="O14" s="47"/>
    </row>
    <row r="15" spans="1:16">
      <c r="A15" s="25">
        <v>12</v>
      </c>
      <c r="B15" s="48" t="s">
        <v>174</v>
      </c>
      <c r="C15" s="49" t="s">
        <v>173</v>
      </c>
      <c r="D15" s="50">
        <v>28.63</v>
      </c>
      <c r="E15" s="50">
        <v>22.48</v>
      </c>
      <c r="F15" s="50">
        <v>10</v>
      </c>
      <c r="G15" s="51">
        <v>198.4</v>
      </c>
      <c r="H15" s="50">
        <v>30.9</v>
      </c>
      <c r="I15" s="50">
        <v>2.63</v>
      </c>
      <c r="J15" s="51">
        <v>230</v>
      </c>
      <c r="K15" s="50">
        <v>36.200000000000003</v>
      </c>
      <c r="L15" s="52">
        <v>2.83</v>
      </c>
      <c r="M15" s="53">
        <f t="shared" si="1"/>
        <v>2.63</v>
      </c>
      <c r="N15" s="46"/>
      <c r="O15" s="47"/>
    </row>
    <row r="16" spans="1:16" ht="13.8" thickBot="1">
      <c r="A16" s="25">
        <v>13</v>
      </c>
      <c r="B16" s="55" t="s">
        <v>177</v>
      </c>
      <c r="C16" s="56" t="s">
        <v>178</v>
      </c>
      <c r="D16" s="57">
        <v>43.22</v>
      </c>
      <c r="E16" s="57">
        <v>33.92</v>
      </c>
      <c r="F16" s="57">
        <v>17.5</v>
      </c>
      <c r="G16" s="58">
        <v>457</v>
      </c>
      <c r="H16" s="57">
        <v>68</v>
      </c>
      <c r="I16" s="57">
        <v>3.25</v>
      </c>
      <c r="J16" s="58">
        <v>358</v>
      </c>
      <c r="K16" s="57">
        <v>51.2</v>
      </c>
      <c r="L16" s="59">
        <v>2.88</v>
      </c>
      <c r="M16" s="60">
        <f t="shared" si="1"/>
        <v>2.88</v>
      </c>
      <c r="N16" s="46"/>
      <c r="O16" s="47"/>
    </row>
    <row r="17" spans="2:13">
      <c r="B17" s="25">
        <v>1</v>
      </c>
      <c r="C17" s="25">
        <v>2</v>
      </c>
      <c r="D17" s="25">
        <v>3</v>
      </c>
      <c r="E17" s="25">
        <v>4</v>
      </c>
      <c r="F17" s="25">
        <v>5</v>
      </c>
      <c r="G17" s="25">
        <v>6</v>
      </c>
      <c r="H17" s="25">
        <v>7</v>
      </c>
      <c r="I17" s="25">
        <v>8</v>
      </c>
      <c r="J17" s="25">
        <v>9</v>
      </c>
      <c r="K17" s="25">
        <v>10</v>
      </c>
      <c r="L17" s="25">
        <v>11</v>
      </c>
      <c r="M17" s="25">
        <v>12</v>
      </c>
    </row>
  </sheetData>
  <sheetProtection password="F946" sheet="1" objects="1" scenarios="1" selectLockedCells="1" selectUnlockedCells="1"/>
  <customSheetViews>
    <customSheetView guid="{0B2838C1-64E2-4766-B82E-FE301CB42C7D}" scale="120" showGridLines="0">
      <selection activeCell="B4" sqref="B4:M20"/>
      <pageMargins left="0.7" right="0.7" top="0.75" bottom="0.75" header="0.3" footer="0.3"/>
    </customSheetView>
  </customSheetViews>
  <mergeCells count="1">
    <mergeCell ref="B1:M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AH35"/>
  <sheetViews>
    <sheetView showGridLines="0" rightToLeft="1" topLeftCell="G1" zoomScaleNormal="100" workbookViewId="0">
      <selection activeCell="J5" sqref="J5"/>
    </sheetView>
  </sheetViews>
  <sheetFormatPr defaultColWidth="8.83203125" defaultRowHeight="15.6"/>
  <cols>
    <col min="1" max="1" width="1.9140625" style="77" customWidth="1"/>
    <col min="2" max="2" width="8.9140625" style="88" customWidth="1"/>
    <col min="3" max="3" width="9.4140625" style="88" bestFit="1" customWidth="1"/>
    <col min="4" max="4" width="0.83203125" style="77" customWidth="1"/>
    <col min="5" max="5" width="8.08203125" style="88" bestFit="1" customWidth="1"/>
    <col min="6" max="6" width="9" style="88" bestFit="1" customWidth="1"/>
    <col min="7" max="7" width="1" style="77" customWidth="1"/>
    <col min="8" max="8" width="11" style="77" customWidth="1"/>
    <col min="9" max="9" width="10.58203125" style="77" customWidth="1"/>
    <col min="10" max="11" width="3.33203125" style="77" customWidth="1"/>
    <col min="12" max="14" width="3.58203125" style="77" bestFit="1" customWidth="1"/>
    <col min="15" max="15" width="3.33203125" style="77" customWidth="1"/>
    <col min="16" max="18" width="3.58203125" style="77" bestFit="1" customWidth="1"/>
    <col min="19" max="21" width="3.6640625" style="77" bestFit="1" customWidth="1"/>
    <col min="22" max="22" width="3.33203125" style="77" customWidth="1"/>
    <col min="23" max="23" width="0.83203125" style="77" customWidth="1"/>
    <col min="24" max="24" width="10.83203125" style="77" customWidth="1"/>
    <col min="25" max="25" width="9.9140625" style="77" customWidth="1"/>
    <col min="26" max="29" width="3.5" style="77" bestFit="1" customWidth="1"/>
    <col min="30" max="30" width="2.6640625" style="77" bestFit="1" customWidth="1"/>
    <col min="31" max="32" width="3.58203125" style="77" bestFit="1" customWidth="1"/>
    <col min="33" max="34" width="2.6640625" style="77" bestFit="1" customWidth="1"/>
    <col min="35" max="35" width="4.1640625" style="77" customWidth="1"/>
    <col min="36" max="16384" width="8.83203125" style="77"/>
  </cols>
  <sheetData>
    <row r="1" spans="2:34" ht="16.2" thickBot="1">
      <c r="B1" s="76" t="s">
        <v>179</v>
      </c>
      <c r="C1" s="76" t="s">
        <v>180</v>
      </c>
      <c r="E1" s="76" t="s">
        <v>181</v>
      </c>
      <c r="F1" s="76" t="s">
        <v>182</v>
      </c>
      <c r="L1" s="451" t="s">
        <v>297</v>
      </c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AA1" s="450" t="s">
        <v>298</v>
      </c>
      <c r="AB1" s="450"/>
      <c r="AC1" s="450"/>
      <c r="AD1" s="450"/>
      <c r="AE1" s="450"/>
      <c r="AF1" s="450"/>
      <c r="AG1" s="450"/>
    </row>
    <row r="2" spans="2:34" ht="18">
      <c r="B2" s="78" t="s">
        <v>183</v>
      </c>
      <c r="C2" s="78" t="s">
        <v>184</v>
      </c>
      <c r="E2" s="78" t="s">
        <v>185</v>
      </c>
      <c r="F2" s="78" t="s">
        <v>186</v>
      </c>
      <c r="H2" s="458" t="s">
        <v>444</v>
      </c>
      <c r="I2" s="291" t="s">
        <v>447</v>
      </c>
      <c r="J2" s="300">
        <v>25</v>
      </c>
      <c r="K2" s="300">
        <v>30</v>
      </c>
      <c r="L2" s="300">
        <v>35</v>
      </c>
      <c r="M2" s="300">
        <v>36</v>
      </c>
      <c r="N2" s="300">
        <v>38</v>
      </c>
      <c r="O2" s="300">
        <v>40</v>
      </c>
      <c r="P2" s="300">
        <v>42</v>
      </c>
      <c r="Q2" s="300">
        <v>45</v>
      </c>
      <c r="R2" s="300">
        <v>50</v>
      </c>
      <c r="S2" s="300">
        <v>55</v>
      </c>
      <c r="T2" s="301">
        <v>60</v>
      </c>
      <c r="U2" s="389"/>
      <c r="V2" s="389"/>
      <c r="X2" s="464" t="s">
        <v>444</v>
      </c>
      <c r="Y2" s="292" t="s">
        <v>446</v>
      </c>
      <c r="Z2" s="300">
        <v>35</v>
      </c>
      <c r="AA2" s="300">
        <v>36</v>
      </c>
      <c r="AB2" s="300">
        <v>38</v>
      </c>
      <c r="AC2" s="300">
        <v>40</v>
      </c>
      <c r="AD2" s="300">
        <v>42</v>
      </c>
      <c r="AE2" s="300">
        <v>45</v>
      </c>
      <c r="AF2" s="300">
        <v>50</v>
      </c>
      <c r="AG2" s="300">
        <v>55</v>
      </c>
      <c r="AH2" s="301">
        <v>60</v>
      </c>
    </row>
    <row r="3" spans="2:34" ht="21" thickBot="1">
      <c r="B3" s="78" t="s">
        <v>187</v>
      </c>
      <c r="C3" s="78" t="s">
        <v>188</v>
      </c>
      <c r="E3" s="78"/>
      <c r="F3" s="78" t="s">
        <v>188</v>
      </c>
      <c r="H3" s="459"/>
      <c r="I3" s="290" t="s">
        <v>441</v>
      </c>
      <c r="J3" s="296" t="s">
        <v>229</v>
      </c>
      <c r="K3" s="296" t="s">
        <v>229</v>
      </c>
      <c r="L3" s="294">
        <v>18.5</v>
      </c>
      <c r="M3" s="294">
        <v>15.2</v>
      </c>
      <c r="N3" s="294">
        <v>10.5</v>
      </c>
      <c r="O3" s="294">
        <v>7.1</v>
      </c>
      <c r="P3" s="294">
        <v>5.6</v>
      </c>
      <c r="Q3" s="294">
        <v>4</v>
      </c>
      <c r="R3" s="294">
        <v>3.1</v>
      </c>
      <c r="S3" s="294">
        <v>2.7</v>
      </c>
      <c r="T3" s="295">
        <v>2.5</v>
      </c>
      <c r="U3" s="390"/>
      <c r="V3" s="390"/>
      <c r="X3" s="465"/>
      <c r="Y3" s="290" t="s">
        <v>441</v>
      </c>
      <c r="Z3" s="294">
        <v>18.5</v>
      </c>
      <c r="AA3" s="294">
        <v>16</v>
      </c>
      <c r="AB3" s="294">
        <v>12</v>
      </c>
      <c r="AC3" s="294">
        <v>10</v>
      </c>
      <c r="AD3" s="294">
        <v>8</v>
      </c>
      <c r="AE3" s="294">
        <v>6.5</v>
      </c>
      <c r="AF3" s="294">
        <v>5</v>
      </c>
      <c r="AG3" s="294">
        <v>4.5</v>
      </c>
      <c r="AH3" s="295">
        <v>4.2</v>
      </c>
    </row>
    <row r="4" spans="2:34" ht="16.2" thickBot="1">
      <c r="B4" s="79">
        <v>100</v>
      </c>
      <c r="C4" s="75">
        <v>0.37</v>
      </c>
      <c r="E4" s="80">
        <v>1</v>
      </c>
      <c r="F4" s="81">
        <v>0.28000000000000003</v>
      </c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AH4" s="187"/>
    </row>
    <row r="5" spans="2:34" ht="33.6">
      <c r="B5" s="82">
        <v>180</v>
      </c>
      <c r="C5" s="83">
        <v>0.57999999999999996</v>
      </c>
      <c r="E5" s="84">
        <v>2</v>
      </c>
      <c r="F5" s="85">
        <v>0.49</v>
      </c>
      <c r="H5" s="460" t="s">
        <v>443</v>
      </c>
      <c r="I5" s="299" t="s">
        <v>448</v>
      </c>
      <c r="J5" s="302">
        <v>0</v>
      </c>
      <c r="K5" s="300">
        <v>75</v>
      </c>
      <c r="L5" s="300">
        <v>80</v>
      </c>
      <c r="M5" s="300">
        <v>85</v>
      </c>
      <c r="N5" s="300">
        <v>90</v>
      </c>
      <c r="O5" s="300">
        <v>95</v>
      </c>
      <c r="P5" s="300">
        <v>96</v>
      </c>
      <c r="Q5" s="300">
        <v>97</v>
      </c>
      <c r="R5" s="300">
        <v>100</v>
      </c>
      <c r="S5" s="300">
        <v>102</v>
      </c>
      <c r="T5" s="300">
        <v>105</v>
      </c>
      <c r="U5" s="301">
        <v>106</v>
      </c>
      <c r="X5" s="462" t="s">
        <v>442</v>
      </c>
      <c r="Y5" s="293" t="s">
        <v>445</v>
      </c>
      <c r="Z5" s="300">
        <v>75</v>
      </c>
      <c r="AA5" s="300">
        <v>80</v>
      </c>
      <c r="AB5" s="300">
        <v>85</v>
      </c>
      <c r="AC5" s="300">
        <v>90</v>
      </c>
      <c r="AD5" s="300">
        <v>95</v>
      </c>
      <c r="AE5" s="300">
        <v>100</v>
      </c>
      <c r="AF5" s="301">
        <v>105</v>
      </c>
      <c r="AG5" s="187"/>
    </row>
    <row r="6" spans="2:34" ht="21" thickBot="1">
      <c r="B6" s="82">
        <v>225</v>
      </c>
      <c r="C6" s="83">
        <v>0.7</v>
      </c>
      <c r="E6" s="84">
        <v>3</v>
      </c>
      <c r="F6" s="85">
        <v>0.6</v>
      </c>
      <c r="H6" s="461"/>
      <c r="I6" s="290" t="s">
        <v>441</v>
      </c>
      <c r="J6" s="294">
        <v>1</v>
      </c>
      <c r="K6" s="294">
        <v>2.5</v>
      </c>
      <c r="L6" s="294">
        <v>3</v>
      </c>
      <c r="M6" s="294">
        <v>3.8</v>
      </c>
      <c r="N6" s="294">
        <v>5</v>
      </c>
      <c r="O6" s="294">
        <v>6.7</v>
      </c>
      <c r="P6" s="294">
        <v>7.4</v>
      </c>
      <c r="Q6" s="294">
        <v>8.1</v>
      </c>
      <c r="R6" s="294">
        <v>10</v>
      </c>
      <c r="S6" s="294">
        <v>12.1</v>
      </c>
      <c r="T6" s="294">
        <v>15.2</v>
      </c>
      <c r="U6" s="295">
        <v>20.9</v>
      </c>
      <c r="X6" s="463"/>
      <c r="Y6" s="290" t="s">
        <v>441</v>
      </c>
      <c r="Z6" s="297">
        <v>2.5</v>
      </c>
      <c r="AA6" s="297">
        <v>3</v>
      </c>
      <c r="AB6" s="297">
        <v>3.8</v>
      </c>
      <c r="AC6" s="297">
        <v>5</v>
      </c>
      <c r="AD6" s="297">
        <v>6.7</v>
      </c>
      <c r="AE6" s="297">
        <v>10</v>
      </c>
      <c r="AF6" s="298">
        <v>15.2</v>
      </c>
    </row>
    <row r="7" spans="2:34">
      <c r="B7" s="82">
        <v>300</v>
      </c>
      <c r="C7" s="83">
        <v>0.9</v>
      </c>
      <c r="E7" s="84">
        <v>4</v>
      </c>
      <c r="F7" s="85">
        <v>0.79</v>
      </c>
    </row>
    <row r="8" spans="2:34">
      <c r="B8" s="82">
        <v>375</v>
      </c>
      <c r="C8" s="83">
        <v>1.1000000000000001</v>
      </c>
      <c r="E8" s="84">
        <v>5</v>
      </c>
      <c r="F8" s="85">
        <v>0.98</v>
      </c>
    </row>
    <row r="9" spans="2:34">
      <c r="B9" s="82">
        <v>400</v>
      </c>
      <c r="C9" s="83">
        <v>1.17</v>
      </c>
      <c r="E9" s="84">
        <v>6</v>
      </c>
      <c r="F9" s="85">
        <v>1.17</v>
      </c>
    </row>
    <row r="10" spans="2:34">
      <c r="B10" s="82">
        <v>450</v>
      </c>
      <c r="C10" s="83">
        <v>1.3</v>
      </c>
      <c r="E10" s="84">
        <v>7</v>
      </c>
      <c r="F10" s="85">
        <v>1.31</v>
      </c>
      <c r="AB10" s="77" t="s">
        <v>163</v>
      </c>
      <c r="AC10" s="88"/>
    </row>
    <row r="11" spans="2:34">
      <c r="B11" s="82">
        <v>525</v>
      </c>
      <c r="C11" s="83">
        <v>1.45</v>
      </c>
      <c r="E11" s="84">
        <v>8</v>
      </c>
      <c r="F11" s="85">
        <v>1.45</v>
      </c>
    </row>
    <row r="12" spans="2:34">
      <c r="B12" s="82">
        <v>600</v>
      </c>
      <c r="C12" s="83">
        <v>1.6</v>
      </c>
      <c r="E12" s="84">
        <v>9</v>
      </c>
      <c r="F12" s="85">
        <v>1.59</v>
      </c>
    </row>
    <row r="13" spans="2:34">
      <c r="B13" s="82">
        <v>630</v>
      </c>
      <c r="C13" s="83">
        <v>1.66</v>
      </c>
      <c r="E13" s="84">
        <v>10</v>
      </c>
      <c r="F13" s="85">
        <v>1.73</v>
      </c>
    </row>
    <row r="14" spans="2:34">
      <c r="B14" s="82">
        <v>675</v>
      </c>
      <c r="C14" s="83">
        <v>1.75</v>
      </c>
      <c r="E14" s="84">
        <v>11</v>
      </c>
      <c r="F14" s="85">
        <v>1.87</v>
      </c>
    </row>
    <row r="15" spans="2:34">
      <c r="B15" s="82">
        <v>750</v>
      </c>
      <c r="C15" s="83">
        <v>1.9</v>
      </c>
      <c r="E15" s="84">
        <v>12</v>
      </c>
      <c r="F15" s="85">
        <v>2.0099999999999998</v>
      </c>
    </row>
    <row r="16" spans="2:34">
      <c r="B16" s="82">
        <v>800</v>
      </c>
      <c r="C16" s="83">
        <v>2</v>
      </c>
      <c r="E16" s="84">
        <v>13</v>
      </c>
      <c r="F16" s="85">
        <v>2.15</v>
      </c>
    </row>
    <row r="17" spans="2:9">
      <c r="B17" s="82">
        <v>825</v>
      </c>
      <c r="C17" s="83">
        <v>2.0499999999999998</v>
      </c>
      <c r="E17" s="84">
        <v>14</v>
      </c>
      <c r="F17" s="85">
        <v>2.29</v>
      </c>
      <c r="H17" s="172"/>
    </row>
    <row r="18" spans="2:9">
      <c r="B18" s="82">
        <v>900</v>
      </c>
      <c r="C18" s="83">
        <v>2.2000000000000002</v>
      </c>
      <c r="E18" s="84">
        <v>15</v>
      </c>
      <c r="F18" s="85">
        <v>2.4300000000000002</v>
      </c>
    </row>
    <row r="19" spans="2:9">
      <c r="B19" s="82">
        <v>975</v>
      </c>
      <c r="C19" s="83">
        <v>2.35</v>
      </c>
      <c r="E19" s="84">
        <v>16</v>
      </c>
      <c r="F19" s="85">
        <v>2.57</v>
      </c>
      <c r="H19" s="172"/>
    </row>
    <row r="20" spans="2:9">
      <c r="B20" s="82">
        <v>1000</v>
      </c>
      <c r="C20" s="83">
        <v>2.4</v>
      </c>
      <c r="E20" s="84">
        <v>17</v>
      </c>
      <c r="F20" s="85">
        <v>2.71</v>
      </c>
    </row>
    <row r="21" spans="2:9">
      <c r="B21" s="82">
        <v>1050</v>
      </c>
      <c r="C21" s="83">
        <v>2.5</v>
      </c>
      <c r="E21" s="84">
        <v>18</v>
      </c>
      <c r="F21" s="85">
        <v>2.85</v>
      </c>
    </row>
    <row r="22" spans="2:9">
      <c r="B22" s="82">
        <v>1125</v>
      </c>
      <c r="C22" s="83">
        <v>2.65</v>
      </c>
      <c r="E22" s="84">
        <v>19</v>
      </c>
      <c r="F22" s="85">
        <v>2.99</v>
      </c>
      <c r="I22" s="77">
        <f>VLOOKUP(Q,Max_Car_Area,2)+(VLOOKUP(INDEX(loads,MATCH(Q,loads,1)+1),Max_Car_Area,2)-VLOOKUP(Q,Max_Car_Area,2))*(Q-INDEX(loads,MATCH(Q,loads,1)))/(INDEX(loads,MATCH(Q,loads,1)+1)-INDEX(loads,MATCH(Q,loads,1)))</f>
        <v>2.4</v>
      </c>
    </row>
    <row r="23" spans="2:9" ht="16.2" thickBot="1">
      <c r="B23" s="82">
        <v>1200</v>
      </c>
      <c r="C23" s="83">
        <v>2.8</v>
      </c>
      <c r="E23" s="86">
        <v>20</v>
      </c>
      <c r="F23" s="87">
        <v>3.13</v>
      </c>
    </row>
    <row r="24" spans="2:9">
      <c r="B24" s="82">
        <v>1250</v>
      </c>
      <c r="C24" s="83">
        <v>2.9</v>
      </c>
      <c r="E24" s="452" t="s">
        <v>189</v>
      </c>
      <c r="F24" s="453"/>
      <c r="H24" s="77" t="s">
        <v>163</v>
      </c>
    </row>
    <row r="25" spans="2:9">
      <c r="B25" s="82">
        <v>1275</v>
      </c>
      <c r="C25" s="83">
        <v>2.95</v>
      </c>
      <c r="E25" s="454"/>
      <c r="F25" s="455"/>
    </row>
    <row r="26" spans="2:9" ht="16.2" thickBot="1">
      <c r="B26" s="82">
        <v>1350</v>
      </c>
      <c r="C26" s="83">
        <v>3.1</v>
      </c>
      <c r="E26" s="456"/>
      <c r="F26" s="457"/>
    </row>
    <row r="27" spans="2:9">
      <c r="B27" s="82">
        <v>1425</v>
      </c>
      <c r="C27" s="83">
        <v>3.25</v>
      </c>
    </row>
    <row r="28" spans="2:9">
      <c r="B28" s="82">
        <v>1500</v>
      </c>
      <c r="C28" s="83">
        <v>3.4</v>
      </c>
    </row>
    <row r="29" spans="2:9">
      <c r="B29" s="82">
        <v>1600</v>
      </c>
      <c r="C29" s="83">
        <v>3.56</v>
      </c>
    </row>
    <row r="30" spans="2:9">
      <c r="B30" s="82">
        <v>2000</v>
      </c>
      <c r="C30" s="83">
        <v>4.2</v>
      </c>
    </row>
    <row r="31" spans="2:9" ht="16.2" thickBot="1">
      <c r="B31" s="89">
        <v>2500</v>
      </c>
      <c r="C31" s="90">
        <v>5</v>
      </c>
    </row>
    <row r="32" spans="2:9">
      <c r="B32" s="452" t="s">
        <v>190</v>
      </c>
      <c r="C32" s="453"/>
    </row>
    <row r="33" spans="2:3" ht="16.2" thickBot="1">
      <c r="B33" s="456"/>
      <c r="C33" s="457"/>
    </row>
    <row r="34" spans="2:3">
      <c r="B34" s="452" t="s">
        <v>191</v>
      </c>
      <c r="C34" s="453"/>
    </row>
    <row r="35" spans="2:3" ht="16.2" thickBot="1">
      <c r="B35" s="456"/>
      <c r="C35" s="457"/>
    </row>
  </sheetData>
  <sheetProtection password="F946" sheet="1" objects="1" scenarios="1" selectLockedCells="1" selectUnlockedCells="1"/>
  <customSheetViews>
    <customSheetView guid="{0B2838C1-64E2-4766-B82E-FE301CB42C7D}" showGridLines="0" state="hidden" topLeftCell="A3">
      <selection activeCell="G30" sqref="G30"/>
      <pageMargins left="0.7" right="0.7" top="0.75" bottom="0.75" header="0.3" footer="0.3"/>
      <pageSetup orientation="portrait" r:id="rId1"/>
    </customSheetView>
  </customSheetViews>
  <mergeCells count="9">
    <mergeCell ref="AA1:AG1"/>
    <mergeCell ref="L1:W1"/>
    <mergeCell ref="E24:F26"/>
    <mergeCell ref="B32:C33"/>
    <mergeCell ref="B34:C35"/>
    <mergeCell ref="H2:H3"/>
    <mergeCell ref="H5:H6"/>
    <mergeCell ref="X5:X6"/>
    <mergeCell ref="X2:X3"/>
  </mergeCell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"/>
  <sheetViews>
    <sheetView showGridLines="0" rightToLeft="1" zoomScaleNormal="100" workbookViewId="0">
      <selection activeCell="K14" sqref="K14"/>
    </sheetView>
  </sheetViews>
  <sheetFormatPr defaultRowHeight="18"/>
  <cols>
    <col min="1" max="1" width="3.6640625" customWidth="1"/>
    <col min="2" max="2" width="12.5" bestFit="1" customWidth="1"/>
    <col min="3" max="3" width="8.1640625" customWidth="1"/>
    <col min="4" max="4" width="6.75" customWidth="1"/>
    <col min="5" max="5" width="8.25" customWidth="1"/>
    <col min="6" max="6" width="4.25" bestFit="1" customWidth="1"/>
    <col min="7" max="7" width="3.75" bestFit="1" customWidth="1"/>
    <col min="8" max="8" width="4.25" bestFit="1" customWidth="1"/>
    <col min="9" max="9" width="4.75" bestFit="1" customWidth="1"/>
    <col min="10" max="13" width="4.25" bestFit="1" customWidth="1"/>
    <col min="14" max="15" width="5.25" bestFit="1" customWidth="1"/>
  </cols>
  <sheetData>
    <row r="1" spans="1:21">
      <c r="A1" s="466" t="s">
        <v>572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164"/>
      <c r="Q1" s="165"/>
      <c r="R1" s="165"/>
      <c r="S1" s="166"/>
      <c r="T1" s="139"/>
    </row>
    <row r="2" spans="1:21">
      <c r="A2" s="167"/>
      <c r="C2" s="467" t="s">
        <v>273</v>
      </c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9"/>
      <c r="P2" s="166"/>
      <c r="Q2" s="166"/>
      <c r="R2" s="166"/>
      <c r="S2" s="166"/>
      <c r="T2" s="139"/>
    </row>
    <row r="3" spans="1:21">
      <c r="A3" s="169"/>
      <c r="B3" s="170" t="s">
        <v>258</v>
      </c>
      <c r="C3" s="160">
        <v>0</v>
      </c>
      <c r="D3" s="160">
        <v>240</v>
      </c>
      <c r="E3" s="168">
        <v>320</v>
      </c>
      <c r="F3" s="160">
        <v>330</v>
      </c>
      <c r="G3" s="160">
        <v>400</v>
      </c>
      <c r="H3" s="160">
        <v>410</v>
      </c>
      <c r="I3" s="160">
        <v>440</v>
      </c>
      <c r="J3" s="160">
        <v>480</v>
      </c>
      <c r="K3" s="160">
        <v>520</v>
      </c>
      <c r="L3" s="160">
        <v>540</v>
      </c>
      <c r="M3" s="160">
        <v>560</v>
      </c>
      <c r="N3" s="160">
        <v>580</v>
      </c>
      <c r="O3" s="160">
        <v>600</v>
      </c>
      <c r="P3" s="162"/>
      <c r="Q3" s="162"/>
      <c r="R3" s="162"/>
      <c r="S3" s="162"/>
    </row>
    <row r="4" spans="1:21">
      <c r="A4" s="138">
        <v>1</v>
      </c>
      <c r="B4" s="161">
        <v>3</v>
      </c>
      <c r="C4" s="133">
        <v>0</v>
      </c>
      <c r="D4" s="344">
        <v>6.2</v>
      </c>
      <c r="E4" s="133">
        <v>9</v>
      </c>
      <c r="F4" s="344">
        <f>E4+(G4-E4)*(F$3^2-E$3^2)/(G$3^2-E$3^2)</f>
        <v>9.4513888888888893</v>
      </c>
      <c r="G4" s="133">
        <v>13</v>
      </c>
      <c r="H4" s="344">
        <f t="shared" ref="H4:H13" si="0">G4+(I4-G4)*(H$3^2-G$3^2)/(I$3^2-G$3^2)</f>
        <v>15.049107142857142</v>
      </c>
      <c r="I4" s="133">
        <v>21.5</v>
      </c>
      <c r="J4" s="344">
        <v>28</v>
      </c>
      <c r="K4" s="345">
        <f>J4+(J4-I4)*(K$3^2-J$3^2)/(J$3^2-I$3^2)</f>
        <v>35.065217391304344</v>
      </c>
      <c r="L4" s="345">
        <f t="shared" ref="L4:L13" si="1">J4+(J4-I4)*(L$3^2-J$3^2)/(J$3^2-I$3^2)</f>
        <v>38.809782608695656</v>
      </c>
      <c r="M4" s="344">
        <f t="shared" ref="M4:M13" si="2">L4+(L4-J4)*(M$3^2-L$3^2)/(L$3^2-J$3^2)</f>
        <v>42.695652173913047</v>
      </c>
      <c r="N4" s="345">
        <f>M4+(M4-L4)*(N$3^2-M$3^2)/(M$3^2-L$3^2)</f>
        <v>46.722826086956523</v>
      </c>
      <c r="O4" s="344">
        <f>N4+(N4-M4)*(O$3^2-N$3^2)/(N$3^2-M$3^2)</f>
        <v>50.891304347826086</v>
      </c>
      <c r="P4" s="163"/>
      <c r="Q4" s="163"/>
      <c r="R4" s="163"/>
      <c r="S4" s="163"/>
    </row>
    <row r="5" spans="1:21">
      <c r="A5" s="138">
        <v>2</v>
      </c>
      <c r="B5" s="161">
        <v>4</v>
      </c>
      <c r="C5" s="133">
        <v>0</v>
      </c>
      <c r="D5" s="344">
        <v>7</v>
      </c>
      <c r="E5" s="133">
        <v>11</v>
      </c>
      <c r="F5" s="344">
        <f t="shared" ref="F5:F13" si="3">E5+(G5-E5)*(F$3^2-E$3^2)/(G$3^2-E$3^2)</f>
        <v>11.564236111111111</v>
      </c>
      <c r="G5" s="133">
        <v>16</v>
      </c>
      <c r="H5" s="344">
        <f t="shared" si="0"/>
        <v>18.169642857142858</v>
      </c>
      <c r="I5" s="133">
        <v>25</v>
      </c>
      <c r="J5" s="344">
        <v>32</v>
      </c>
      <c r="K5" s="345">
        <f t="shared" ref="K5:K13" si="4">J5+(J5-I5)*(K$3^2-J$3^2)/(J$3^2-I$3^2)</f>
        <v>39.608695652173914</v>
      </c>
      <c r="L5" s="345">
        <f t="shared" si="1"/>
        <v>43.641304347826086</v>
      </c>
      <c r="M5" s="344">
        <f t="shared" si="2"/>
        <v>47.826086956521735</v>
      </c>
      <c r="N5" s="345">
        <f t="shared" ref="N5:N13" si="5">M5+(M5-L5)*(N$3^2-M$3^2)/(M$3^2-L$3^2)</f>
        <v>52.16304347826086</v>
      </c>
      <c r="O5" s="344">
        <f t="shared" ref="O5" si="6">N5+(N5-M5)*(O$3^2-N$3^2)/(N$3^2-M$3^2)</f>
        <v>56.652173913043463</v>
      </c>
      <c r="P5" s="163"/>
      <c r="Q5" s="163"/>
      <c r="R5" s="163"/>
      <c r="S5" s="163"/>
    </row>
    <row r="6" spans="1:21">
      <c r="A6" s="138">
        <v>3</v>
      </c>
      <c r="B6" s="160">
        <v>5</v>
      </c>
      <c r="C6" s="133">
        <v>0</v>
      </c>
      <c r="D6" s="344">
        <v>7.8</v>
      </c>
      <c r="E6" s="133">
        <v>12.5</v>
      </c>
      <c r="F6" s="344">
        <f t="shared" si="3"/>
        <v>13.233506944444445</v>
      </c>
      <c r="G6" s="133">
        <v>19</v>
      </c>
      <c r="H6" s="344">
        <f t="shared" si="0"/>
        <v>21.290178571428573</v>
      </c>
      <c r="I6" s="133">
        <v>28.5</v>
      </c>
      <c r="J6" s="344">
        <v>36</v>
      </c>
      <c r="K6" s="345">
        <f t="shared" si="4"/>
        <v>44.152173913043477</v>
      </c>
      <c r="L6" s="345">
        <f t="shared" si="1"/>
        <v>48.472826086956523</v>
      </c>
      <c r="M6" s="344">
        <f t="shared" si="2"/>
        <v>52.956521739130437</v>
      </c>
      <c r="N6" s="345">
        <f t="shared" si="5"/>
        <v>57.603260869565219</v>
      </c>
      <c r="O6" s="344">
        <f t="shared" ref="O6" si="7">N6+(N6-M6)*(O$3^2-N$3^2)/(N$3^2-M$3^2)</f>
        <v>62.413043478260867</v>
      </c>
      <c r="P6" s="163"/>
      <c r="Q6" s="163"/>
      <c r="R6" s="163"/>
      <c r="S6" s="163"/>
    </row>
    <row r="7" spans="1:21">
      <c r="A7" s="138">
        <v>4</v>
      </c>
      <c r="B7" s="160">
        <v>6</v>
      </c>
      <c r="C7" s="133">
        <v>0</v>
      </c>
      <c r="D7" s="344">
        <v>8.1999999999999993</v>
      </c>
      <c r="E7" s="133">
        <v>13</v>
      </c>
      <c r="F7" s="344">
        <f t="shared" si="3"/>
        <v>13.789930555555555</v>
      </c>
      <c r="G7" s="133">
        <v>20</v>
      </c>
      <c r="H7" s="344">
        <f t="shared" si="0"/>
        <v>22.290178571428573</v>
      </c>
      <c r="I7" s="133">
        <v>29.5</v>
      </c>
      <c r="J7" s="344">
        <v>37.5</v>
      </c>
      <c r="K7" s="345">
        <f t="shared" si="4"/>
        <v>46.195652173913047</v>
      </c>
      <c r="L7" s="345">
        <f t="shared" si="1"/>
        <v>50.804347826086953</v>
      </c>
      <c r="M7" s="344">
        <f t="shared" si="2"/>
        <v>55.586956521739125</v>
      </c>
      <c r="N7" s="345">
        <f t="shared" si="5"/>
        <v>60.543478260869556</v>
      </c>
      <c r="O7" s="344">
        <f t="shared" ref="O7" si="8">N7+(N7-M7)*(O$3^2-N$3^2)/(N$3^2-M$3^2)</f>
        <v>65.673913043478251</v>
      </c>
      <c r="P7" s="163"/>
      <c r="Q7" s="163"/>
      <c r="R7" s="163"/>
      <c r="S7" s="163"/>
    </row>
    <row r="8" spans="1:21">
      <c r="A8" s="138">
        <v>5</v>
      </c>
      <c r="B8" s="160">
        <v>7</v>
      </c>
      <c r="C8" s="133">
        <v>0</v>
      </c>
      <c r="D8" s="344">
        <v>9</v>
      </c>
      <c r="E8" s="133">
        <v>14.5</v>
      </c>
      <c r="F8" s="344">
        <f t="shared" si="3"/>
        <v>15.346354166666666</v>
      </c>
      <c r="G8" s="133">
        <v>22</v>
      </c>
      <c r="H8" s="344">
        <f t="shared" si="0"/>
        <v>24.651785714285715</v>
      </c>
      <c r="I8" s="133">
        <v>33</v>
      </c>
      <c r="J8" s="344">
        <v>42</v>
      </c>
      <c r="K8" s="345">
        <f t="shared" si="4"/>
        <v>51.782608695652172</v>
      </c>
      <c r="L8" s="345">
        <f t="shared" si="1"/>
        <v>56.967391304347828</v>
      </c>
      <c r="M8" s="344">
        <f t="shared" si="2"/>
        <v>62.347826086956523</v>
      </c>
      <c r="N8" s="345">
        <f t="shared" si="5"/>
        <v>67.923913043478265</v>
      </c>
      <c r="O8" s="344">
        <f t="shared" ref="O8" si="9">N8+(N8-M8)*(O$3^2-N$3^2)/(N$3^2-M$3^2)</f>
        <v>73.695652173913047</v>
      </c>
      <c r="P8" s="163"/>
      <c r="Q8" s="163"/>
      <c r="R8" s="163"/>
      <c r="S8" s="163"/>
    </row>
    <row r="9" spans="1:21">
      <c r="A9" s="138">
        <v>6</v>
      </c>
      <c r="B9" s="160">
        <v>8</v>
      </c>
      <c r="C9" s="133">
        <v>0</v>
      </c>
      <c r="D9" s="344">
        <v>10</v>
      </c>
      <c r="E9" s="133">
        <v>16</v>
      </c>
      <c r="F9" s="344">
        <f t="shared" si="3"/>
        <v>16.902777777777779</v>
      </c>
      <c r="G9" s="133">
        <v>24</v>
      </c>
      <c r="H9" s="344">
        <f t="shared" si="0"/>
        <v>26.892857142857142</v>
      </c>
      <c r="I9" s="133">
        <v>36</v>
      </c>
      <c r="J9" s="344">
        <v>46</v>
      </c>
      <c r="K9" s="345">
        <f t="shared" si="4"/>
        <v>56.869565217391305</v>
      </c>
      <c r="L9" s="345">
        <f t="shared" si="1"/>
        <v>62.630434782608695</v>
      </c>
      <c r="M9" s="344">
        <f t="shared" si="2"/>
        <v>68.608695652173907</v>
      </c>
      <c r="N9" s="345">
        <f t="shared" si="5"/>
        <v>74.804347826086939</v>
      </c>
      <c r="O9" s="344">
        <f t="shared" ref="O9" si="10">N9+(N9-M9)*(O$3^2-N$3^2)/(N$3^2-M$3^2)</f>
        <v>81.2173913043478</v>
      </c>
      <c r="P9" s="163"/>
      <c r="Q9" s="163"/>
      <c r="R9" s="163"/>
      <c r="S9" s="163"/>
    </row>
    <row r="10" spans="1:21">
      <c r="A10" s="138">
        <v>7</v>
      </c>
      <c r="B10" s="160">
        <v>9</v>
      </c>
      <c r="C10" s="133">
        <v>0</v>
      </c>
      <c r="D10" s="344">
        <v>11</v>
      </c>
      <c r="E10" s="133">
        <v>17.5</v>
      </c>
      <c r="F10" s="344">
        <f t="shared" si="3"/>
        <v>18.459201388888889</v>
      </c>
      <c r="G10" s="133">
        <v>26</v>
      </c>
      <c r="H10" s="344">
        <f t="shared" si="0"/>
        <v>29.133928571428573</v>
      </c>
      <c r="I10" s="133">
        <v>39</v>
      </c>
      <c r="J10" s="344">
        <v>50</v>
      </c>
      <c r="K10" s="345">
        <f t="shared" si="4"/>
        <v>61.956521739130437</v>
      </c>
      <c r="L10" s="345">
        <f t="shared" si="1"/>
        <v>68.293478260869563</v>
      </c>
      <c r="M10" s="344">
        <f t="shared" si="2"/>
        <v>74.869565217391298</v>
      </c>
      <c r="N10" s="345">
        <f t="shared" si="5"/>
        <v>81.684782608695642</v>
      </c>
      <c r="O10" s="344">
        <f t="shared" ref="O10" si="11">N10+(N10-M10)*(O$3^2-N$3^2)/(N$3^2-M$3^2)</f>
        <v>88.739130434782595</v>
      </c>
    </row>
    <row r="11" spans="1:21">
      <c r="A11" s="138">
        <v>8</v>
      </c>
      <c r="B11" s="160">
        <v>10</v>
      </c>
      <c r="C11" s="133">
        <v>0</v>
      </c>
      <c r="D11" s="344">
        <v>12</v>
      </c>
      <c r="E11" s="133">
        <v>19</v>
      </c>
      <c r="F11" s="344">
        <f t="shared" si="3"/>
        <v>20.015625</v>
      </c>
      <c r="G11" s="133">
        <v>28</v>
      </c>
      <c r="H11" s="344">
        <f t="shared" si="0"/>
        <v>31.375</v>
      </c>
      <c r="I11" s="133">
        <v>42</v>
      </c>
      <c r="J11" s="344">
        <v>54</v>
      </c>
      <c r="K11" s="345">
        <f t="shared" si="4"/>
        <v>67.043478260869563</v>
      </c>
      <c r="L11" s="345">
        <f t="shared" si="1"/>
        <v>73.956521739130437</v>
      </c>
      <c r="M11" s="344">
        <f t="shared" si="2"/>
        <v>81.130434782608702</v>
      </c>
      <c r="N11" s="345">
        <f t="shared" si="5"/>
        <v>88.565217391304358</v>
      </c>
      <c r="O11" s="344">
        <f t="shared" ref="O11" si="12">N11+(N11-M11)*(O$3^2-N$3^2)/(N$3^2-M$3^2)</f>
        <v>96.260869565217405</v>
      </c>
    </row>
    <row r="12" spans="1:21">
      <c r="A12" s="138">
        <v>9</v>
      </c>
      <c r="B12" s="160">
        <v>11</v>
      </c>
      <c r="C12" s="133">
        <v>0</v>
      </c>
      <c r="D12" s="344">
        <v>13</v>
      </c>
      <c r="E12" s="133">
        <v>20.5</v>
      </c>
      <c r="F12" s="344">
        <f t="shared" si="3"/>
        <v>21.572048611111111</v>
      </c>
      <c r="G12" s="133">
        <v>30</v>
      </c>
      <c r="H12" s="344">
        <f t="shared" si="0"/>
        <v>33.616071428571431</v>
      </c>
      <c r="I12" s="133">
        <v>45</v>
      </c>
      <c r="J12" s="344">
        <v>58</v>
      </c>
      <c r="K12" s="345">
        <f t="shared" si="4"/>
        <v>72.130434782608688</v>
      </c>
      <c r="L12" s="345">
        <f t="shared" si="1"/>
        <v>79.619565217391312</v>
      </c>
      <c r="M12" s="344">
        <f t="shared" si="2"/>
        <v>87.391304347826093</v>
      </c>
      <c r="N12" s="345">
        <f t="shared" si="5"/>
        <v>95.445652173913047</v>
      </c>
      <c r="O12" s="344">
        <f t="shared" ref="O12" si="13">N12+(N12-M12)*(O$3^2-N$3^2)/(N$3^2-M$3^2)</f>
        <v>103.78260869565217</v>
      </c>
    </row>
    <row r="13" spans="1:21" ht="18.600000000000001" thickBot="1">
      <c r="A13" s="346">
        <v>10</v>
      </c>
      <c r="B13" s="347">
        <v>12</v>
      </c>
      <c r="C13" s="348">
        <v>0</v>
      </c>
      <c r="D13" s="349">
        <v>14</v>
      </c>
      <c r="E13" s="348">
        <v>22</v>
      </c>
      <c r="F13" s="344">
        <f t="shared" si="3"/>
        <v>23.128472222222221</v>
      </c>
      <c r="G13" s="133">
        <v>32</v>
      </c>
      <c r="H13" s="344">
        <f t="shared" si="0"/>
        <v>35.857142857142854</v>
      </c>
      <c r="I13" s="133">
        <v>48</v>
      </c>
      <c r="J13" s="344">
        <v>62</v>
      </c>
      <c r="K13" s="345">
        <f t="shared" si="4"/>
        <v>77.217391304347828</v>
      </c>
      <c r="L13" s="345">
        <f t="shared" si="1"/>
        <v>85.282608695652172</v>
      </c>
      <c r="M13" s="344">
        <f t="shared" si="2"/>
        <v>93.65217391304347</v>
      </c>
      <c r="N13" s="345">
        <f t="shared" si="5"/>
        <v>102.32608695652172</v>
      </c>
      <c r="O13" s="344">
        <f t="shared" ref="O13" si="14">N13+(N13-M13)*(O$3^2-N$3^2)/(N$3^2-M$3^2)</f>
        <v>111.30434782608693</v>
      </c>
      <c r="P13" s="139"/>
      <c r="Q13" s="139"/>
      <c r="R13" s="139"/>
    </row>
    <row r="14" spans="1:21" ht="18.600000000000001" thickBot="1">
      <c r="A14" s="470" t="s">
        <v>508</v>
      </c>
      <c r="B14" s="471"/>
      <c r="C14" s="471"/>
      <c r="D14" s="471"/>
      <c r="E14" s="472"/>
    </row>
    <row r="15" spans="1:21">
      <c r="A15" s="350"/>
      <c r="B15" s="351" t="s">
        <v>503</v>
      </c>
      <c r="C15" s="351" t="s">
        <v>266</v>
      </c>
      <c r="D15" s="352" t="s">
        <v>507</v>
      </c>
      <c r="E15" s="353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</row>
    <row r="16" spans="1:21">
      <c r="A16" s="354">
        <v>1</v>
      </c>
      <c r="B16" s="351" t="s">
        <v>500</v>
      </c>
      <c r="C16" s="355">
        <v>0.85</v>
      </c>
      <c r="D16" s="352" t="s">
        <v>504</v>
      </c>
      <c r="E16" s="353"/>
      <c r="U16" s="143"/>
    </row>
    <row r="17" spans="1:5">
      <c r="A17" s="354">
        <v>2</v>
      </c>
      <c r="B17" s="351" t="s">
        <v>501</v>
      </c>
      <c r="C17" s="355">
        <v>0.9</v>
      </c>
      <c r="D17" s="352" t="s">
        <v>505</v>
      </c>
      <c r="E17" s="353"/>
    </row>
    <row r="18" spans="1:5" ht="18.600000000000001" thickBot="1">
      <c r="A18" s="356">
        <v>3</v>
      </c>
      <c r="B18" s="357" t="s">
        <v>502</v>
      </c>
      <c r="C18" s="358">
        <v>0.95</v>
      </c>
      <c r="D18" s="358" t="s">
        <v>506</v>
      </c>
      <c r="E18" s="359"/>
    </row>
  </sheetData>
  <sheetProtection password="D9F2" sheet="1" objects="1" scenarios="1" selectLockedCells="1"/>
  <customSheetViews>
    <customSheetView guid="{0B2838C1-64E2-4766-B82E-FE301CB42C7D}">
      <selection activeCell="C4" sqref="C4"/>
      <pageMargins left="0.7" right="0.7" top="0.75" bottom="0.75" header="0.3" footer="0.3"/>
    </customSheetView>
  </customSheetViews>
  <mergeCells count="3">
    <mergeCell ref="A1:O1"/>
    <mergeCell ref="C2:O2"/>
    <mergeCell ref="A14:E1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4"/>
  <sheetViews>
    <sheetView showGridLines="0" rightToLeft="1" zoomScaleNormal="100" workbookViewId="0">
      <selection activeCell="B22" sqref="B22"/>
    </sheetView>
  </sheetViews>
  <sheetFormatPr defaultRowHeight="18"/>
  <cols>
    <col min="1" max="1" width="4" bestFit="1" customWidth="1"/>
    <col min="2" max="2" width="9.5" customWidth="1"/>
    <col min="3" max="3" width="6.33203125" bestFit="1" customWidth="1"/>
    <col min="4" max="4" width="6.1640625" customWidth="1"/>
    <col min="5" max="5" width="6.08203125" bestFit="1" customWidth="1"/>
    <col min="6" max="6" width="6.58203125" bestFit="1" customWidth="1"/>
    <col min="7" max="7" width="6.08203125" bestFit="1" customWidth="1"/>
    <col min="8" max="8" width="6.58203125" bestFit="1" customWidth="1"/>
    <col min="9" max="9" width="6.08203125" bestFit="1" customWidth="1"/>
    <col min="10" max="10" width="6.33203125" bestFit="1" customWidth="1"/>
    <col min="11" max="11" width="6.08203125" bestFit="1" customWidth="1"/>
    <col min="12" max="12" width="6.58203125" bestFit="1" customWidth="1"/>
    <col min="13" max="13" width="6.33203125" bestFit="1" customWidth="1"/>
    <col min="14" max="14" width="6.58203125" bestFit="1" customWidth="1"/>
    <col min="15" max="15" width="6.33203125" bestFit="1" customWidth="1"/>
    <col min="16" max="16" width="6.58203125" bestFit="1" customWidth="1"/>
    <col min="17" max="17" width="6.08203125" bestFit="1" customWidth="1"/>
    <col min="18" max="18" width="6.58203125" bestFit="1" customWidth="1"/>
    <col min="19" max="19" width="6.08203125" bestFit="1" customWidth="1"/>
    <col min="20" max="20" width="6.58203125" bestFit="1" customWidth="1"/>
    <col min="21" max="21" width="6.08203125" bestFit="1" customWidth="1"/>
    <col min="22" max="22" width="6.58203125" bestFit="1" customWidth="1"/>
    <col min="23" max="23" width="6.58203125" customWidth="1"/>
  </cols>
  <sheetData>
    <row r="1" spans="1:23" ht="18.600000000000001" thickBot="1">
      <c r="A1" s="310" t="s">
        <v>451</v>
      </c>
      <c r="B1" s="479" t="s">
        <v>456</v>
      </c>
      <c r="C1" s="480"/>
      <c r="D1" s="480"/>
      <c r="E1" s="480"/>
      <c r="F1" s="480"/>
      <c r="G1" s="480"/>
      <c r="H1" s="480"/>
      <c r="I1" s="480"/>
      <c r="J1" s="480"/>
      <c r="K1" s="481"/>
      <c r="L1" s="479" t="s">
        <v>471</v>
      </c>
      <c r="M1" s="480"/>
      <c r="N1" s="480"/>
      <c r="O1" s="480"/>
      <c r="P1" s="480"/>
      <c r="Q1" s="480"/>
      <c r="R1" s="480"/>
      <c r="S1" s="481"/>
      <c r="T1" s="479" t="s">
        <v>479</v>
      </c>
      <c r="U1" s="480"/>
      <c r="V1" s="480"/>
      <c r="W1" s="481"/>
    </row>
    <row r="2" spans="1:23">
      <c r="A2" s="305" t="s">
        <v>453</v>
      </c>
      <c r="B2" s="482" t="s">
        <v>192</v>
      </c>
      <c r="C2" s="483"/>
      <c r="D2" s="484" t="s">
        <v>193</v>
      </c>
      <c r="E2" s="486"/>
      <c r="F2" s="484" t="s">
        <v>194</v>
      </c>
      <c r="G2" s="486"/>
      <c r="H2" s="484" t="s">
        <v>449</v>
      </c>
      <c r="I2" s="486"/>
      <c r="J2" s="484" t="s">
        <v>56</v>
      </c>
      <c r="K2" s="485"/>
      <c r="L2" s="484" t="s">
        <v>474</v>
      </c>
      <c r="M2" s="486"/>
      <c r="N2" s="484" t="s">
        <v>472</v>
      </c>
      <c r="O2" s="486"/>
      <c r="P2" s="484" t="s">
        <v>476</v>
      </c>
      <c r="Q2" s="486"/>
      <c r="R2" s="484" t="s">
        <v>477</v>
      </c>
      <c r="S2" s="486"/>
      <c r="T2" s="482" t="s">
        <v>480</v>
      </c>
      <c r="U2" s="483"/>
      <c r="V2" s="484" t="s">
        <v>481</v>
      </c>
      <c r="W2" s="485"/>
    </row>
    <row r="3" spans="1:23">
      <c r="A3" s="313" t="s">
        <v>464</v>
      </c>
      <c r="B3" s="477" t="s">
        <v>468</v>
      </c>
      <c r="C3" s="478"/>
      <c r="D3" s="477" t="s">
        <v>467</v>
      </c>
      <c r="E3" s="478"/>
      <c r="F3" s="477" t="s">
        <v>466</v>
      </c>
      <c r="G3" s="478"/>
      <c r="H3" s="477" t="s">
        <v>465</v>
      </c>
      <c r="I3" s="478"/>
      <c r="J3" s="477" t="s">
        <v>465</v>
      </c>
      <c r="K3" s="478"/>
      <c r="L3" s="477" t="s">
        <v>468</v>
      </c>
      <c r="M3" s="478"/>
      <c r="N3" s="477" t="s">
        <v>467</v>
      </c>
      <c r="O3" s="478"/>
      <c r="P3" s="477" t="s">
        <v>465</v>
      </c>
      <c r="Q3" s="478"/>
      <c r="R3" s="477" t="s">
        <v>465</v>
      </c>
      <c r="S3" s="478"/>
      <c r="T3" s="477" t="s">
        <v>468</v>
      </c>
      <c r="U3" s="478"/>
      <c r="V3" s="477" t="s">
        <v>482</v>
      </c>
      <c r="W3" s="478"/>
    </row>
    <row r="4" spans="1:23">
      <c r="A4" s="141" t="s">
        <v>1</v>
      </c>
      <c r="B4" s="473" t="s">
        <v>236</v>
      </c>
      <c r="C4" s="474"/>
      <c r="D4" s="473" t="s">
        <v>237</v>
      </c>
      <c r="E4" s="474"/>
      <c r="F4" s="473" t="s">
        <v>469</v>
      </c>
      <c r="G4" s="474"/>
      <c r="H4" s="473" t="s">
        <v>462</v>
      </c>
      <c r="I4" s="474"/>
      <c r="J4" s="475" t="s">
        <v>463</v>
      </c>
      <c r="K4" s="476"/>
      <c r="L4" s="473" t="s">
        <v>236</v>
      </c>
      <c r="M4" s="474"/>
      <c r="N4" s="473" t="s">
        <v>237</v>
      </c>
      <c r="O4" s="474"/>
      <c r="P4" s="473" t="s">
        <v>462</v>
      </c>
      <c r="Q4" s="474"/>
      <c r="R4" s="475" t="s">
        <v>463</v>
      </c>
      <c r="S4" s="476"/>
      <c r="T4" s="473" t="s">
        <v>236</v>
      </c>
      <c r="U4" s="474"/>
      <c r="V4" s="475" t="s">
        <v>483</v>
      </c>
      <c r="W4" s="476"/>
    </row>
    <row r="5" spans="1:23" ht="34.200000000000003">
      <c r="A5" s="61" t="s">
        <v>455</v>
      </c>
      <c r="B5" s="156" t="s">
        <v>195</v>
      </c>
      <c r="C5" s="157" t="s">
        <v>475</v>
      </c>
      <c r="D5" s="158" t="s">
        <v>195</v>
      </c>
      <c r="E5" s="157" t="s">
        <v>475</v>
      </c>
      <c r="F5" s="158" t="s">
        <v>195</v>
      </c>
      <c r="G5" s="157" t="s">
        <v>475</v>
      </c>
      <c r="H5" s="156" t="s">
        <v>195</v>
      </c>
      <c r="I5" s="157" t="s">
        <v>475</v>
      </c>
      <c r="J5" s="156" t="s">
        <v>195</v>
      </c>
      <c r="K5" s="157" t="s">
        <v>475</v>
      </c>
      <c r="L5" s="156" t="s">
        <v>195</v>
      </c>
      <c r="M5" s="157" t="s">
        <v>475</v>
      </c>
      <c r="N5" s="158" t="s">
        <v>195</v>
      </c>
      <c r="O5" s="157" t="s">
        <v>475</v>
      </c>
      <c r="P5" s="156" t="s">
        <v>195</v>
      </c>
      <c r="Q5" s="157" t="s">
        <v>475</v>
      </c>
      <c r="R5" s="156" t="s">
        <v>195</v>
      </c>
      <c r="S5" s="157" t="s">
        <v>475</v>
      </c>
      <c r="T5" s="156" t="s">
        <v>195</v>
      </c>
      <c r="U5" s="157" t="s">
        <v>475</v>
      </c>
      <c r="V5" s="156" t="s">
        <v>195</v>
      </c>
      <c r="W5" s="157" t="s">
        <v>475</v>
      </c>
    </row>
    <row r="6" spans="1:23" ht="16.5" customHeight="1">
      <c r="A6" s="151" t="s">
        <v>22</v>
      </c>
      <c r="B6" s="146" t="s">
        <v>196</v>
      </c>
      <c r="C6" s="146" t="s">
        <v>197</v>
      </c>
      <c r="D6" s="146" t="s">
        <v>196</v>
      </c>
      <c r="E6" s="146" t="s">
        <v>197</v>
      </c>
      <c r="F6" s="146" t="s">
        <v>196</v>
      </c>
      <c r="G6" s="146" t="s">
        <v>197</v>
      </c>
      <c r="H6" s="146" t="s">
        <v>196</v>
      </c>
      <c r="I6" s="146" t="s">
        <v>197</v>
      </c>
      <c r="J6" s="146" t="s">
        <v>196</v>
      </c>
      <c r="K6" s="146" t="s">
        <v>197</v>
      </c>
      <c r="L6" s="146" t="s">
        <v>196</v>
      </c>
      <c r="M6" s="146" t="s">
        <v>197</v>
      </c>
      <c r="N6" s="146" t="s">
        <v>196</v>
      </c>
      <c r="O6" s="146" t="s">
        <v>197</v>
      </c>
      <c r="P6" s="146" t="s">
        <v>196</v>
      </c>
      <c r="Q6" s="146" t="s">
        <v>197</v>
      </c>
      <c r="R6" s="146" t="s">
        <v>196</v>
      </c>
      <c r="S6" s="146" t="s">
        <v>197</v>
      </c>
      <c r="T6" s="146" t="s">
        <v>196</v>
      </c>
      <c r="U6" s="146" t="s">
        <v>197</v>
      </c>
      <c r="V6" s="146" t="s">
        <v>196</v>
      </c>
      <c r="W6" s="146" t="s">
        <v>197</v>
      </c>
    </row>
    <row r="7" spans="1:23" ht="16.5" customHeight="1">
      <c r="A7" s="152">
        <v>6</v>
      </c>
      <c r="B7" s="311"/>
      <c r="C7" s="144"/>
      <c r="D7" s="311"/>
      <c r="E7" s="144"/>
      <c r="F7" s="311"/>
      <c r="G7" s="144"/>
      <c r="H7" s="311"/>
      <c r="I7" s="144"/>
      <c r="J7" s="311">
        <v>0.153</v>
      </c>
      <c r="K7" s="144">
        <v>25.9</v>
      </c>
      <c r="L7" s="311"/>
      <c r="M7" s="144"/>
      <c r="N7" s="311"/>
      <c r="O7" s="144"/>
      <c r="P7" s="311"/>
      <c r="Q7" s="144"/>
      <c r="R7" s="311">
        <v>0.16400000000000001</v>
      </c>
      <c r="S7" s="144">
        <v>26.8</v>
      </c>
      <c r="T7" s="311"/>
      <c r="U7" s="144"/>
      <c r="V7" s="311">
        <v>0.153</v>
      </c>
      <c r="W7" s="144">
        <v>25.9</v>
      </c>
    </row>
    <row r="8" spans="1:23" ht="16.5" customHeight="1">
      <c r="A8" s="314">
        <v>6.5</v>
      </c>
      <c r="B8" s="312"/>
      <c r="C8" s="145"/>
      <c r="D8" s="312"/>
      <c r="E8" s="145"/>
      <c r="F8" s="312"/>
      <c r="G8" s="145"/>
      <c r="H8" s="312"/>
      <c r="I8" s="145"/>
      <c r="J8" s="312">
        <v>0.17</v>
      </c>
      <c r="K8" s="145">
        <v>31.5</v>
      </c>
      <c r="L8" s="312"/>
      <c r="M8" s="145"/>
      <c r="N8" s="312"/>
      <c r="O8" s="145"/>
      <c r="P8" s="312"/>
      <c r="Q8" s="145"/>
      <c r="R8" s="312">
        <v>0.17899999999999999</v>
      </c>
      <c r="S8" s="145">
        <v>31.5</v>
      </c>
      <c r="T8" s="312"/>
      <c r="U8" s="145"/>
      <c r="V8" s="312">
        <v>0.17</v>
      </c>
      <c r="W8" s="145">
        <v>31.5</v>
      </c>
    </row>
    <row r="9" spans="1:23" ht="16.5" customHeight="1">
      <c r="A9" s="154">
        <v>8</v>
      </c>
      <c r="B9" s="311">
        <v>0.215</v>
      </c>
      <c r="C9" s="144">
        <v>30.5</v>
      </c>
      <c r="D9" s="311">
        <v>0.23</v>
      </c>
      <c r="E9" s="144">
        <v>32</v>
      </c>
      <c r="F9" s="311">
        <v>0.24299999999999999</v>
      </c>
      <c r="G9" s="144">
        <v>38</v>
      </c>
      <c r="H9" s="311">
        <v>0.25800000000000001</v>
      </c>
      <c r="I9" s="144">
        <v>40.6</v>
      </c>
      <c r="J9" s="311">
        <v>0.28000000000000003</v>
      </c>
      <c r="K9" s="144">
        <v>44.6</v>
      </c>
      <c r="L9" s="311">
        <v>0.215</v>
      </c>
      <c r="M9" s="144">
        <v>30.4</v>
      </c>
      <c r="N9" s="311">
        <v>0.222</v>
      </c>
      <c r="O9" s="144">
        <v>31.6</v>
      </c>
      <c r="P9" s="311">
        <v>0.25</v>
      </c>
      <c r="Q9" s="144">
        <v>40</v>
      </c>
      <c r="R9" s="311">
        <v>0.27300000000000002</v>
      </c>
      <c r="S9" s="144">
        <v>43.3</v>
      </c>
      <c r="T9" s="311">
        <v>0.217</v>
      </c>
      <c r="U9" s="144">
        <v>30.5</v>
      </c>
      <c r="V9" s="311">
        <v>0.26200000000000001</v>
      </c>
      <c r="W9" s="144">
        <v>40.4</v>
      </c>
    </row>
    <row r="10" spans="1:23" ht="16.5" customHeight="1">
      <c r="A10" s="153">
        <v>10</v>
      </c>
      <c r="B10" s="312">
        <v>0.34</v>
      </c>
      <c r="C10" s="145">
        <v>48.2</v>
      </c>
      <c r="D10" s="312">
        <v>0.35</v>
      </c>
      <c r="E10" s="145">
        <v>50</v>
      </c>
      <c r="F10" s="312">
        <v>0.38500000000000001</v>
      </c>
      <c r="G10" s="145">
        <v>60.5</v>
      </c>
      <c r="H10" s="312">
        <v>0.40300000000000002</v>
      </c>
      <c r="I10" s="145">
        <v>63.4</v>
      </c>
      <c r="J10" s="312">
        <v>0.436</v>
      </c>
      <c r="K10" s="145">
        <v>69.5</v>
      </c>
      <c r="L10" s="312">
        <v>0.33700000000000002</v>
      </c>
      <c r="M10" s="145">
        <v>47.4</v>
      </c>
      <c r="N10" s="312">
        <v>0.34699999999999998</v>
      </c>
      <c r="O10" s="145">
        <v>49.4</v>
      </c>
      <c r="P10" s="312">
        <v>0.39</v>
      </c>
      <c r="Q10" s="145">
        <v>61.3</v>
      </c>
      <c r="R10" s="312">
        <v>0.42299999999999999</v>
      </c>
      <c r="S10" s="145">
        <v>67.7</v>
      </c>
      <c r="T10" s="312">
        <v>0.33600000000000002</v>
      </c>
      <c r="U10" s="145">
        <v>47.2</v>
      </c>
      <c r="V10" s="312">
        <v>0.41100000000000003</v>
      </c>
      <c r="W10" s="145">
        <v>63.4</v>
      </c>
    </row>
    <row r="11" spans="1:23" ht="16.5" customHeight="1">
      <c r="A11" s="152">
        <v>11</v>
      </c>
      <c r="B11" s="311">
        <v>0.41099999999999998</v>
      </c>
      <c r="C11" s="144">
        <v>58.4</v>
      </c>
      <c r="D11" s="311">
        <v>0.42</v>
      </c>
      <c r="E11" s="144">
        <v>60.2</v>
      </c>
      <c r="F11" s="311">
        <v>0.46500000000000002</v>
      </c>
      <c r="G11" s="144">
        <v>73.400000000000006</v>
      </c>
      <c r="H11" s="311">
        <v>0.48499999999999999</v>
      </c>
      <c r="I11" s="144">
        <v>76.8</v>
      </c>
      <c r="J11" s="311">
        <v>0.52300000000000002</v>
      </c>
      <c r="K11" s="144">
        <v>83.1</v>
      </c>
      <c r="L11" s="311"/>
      <c r="M11" s="144">
        <v>57.4</v>
      </c>
      <c r="N11" s="311">
        <v>0.42</v>
      </c>
      <c r="O11" s="144">
        <v>59.7</v>
      </c>
      <c r="P11" s="311">
        <v>0.47</v>
      </c>
      <c r="Q11" s="144">
        <v>76.099999999999994</v>
      </c>
      <c r="R11" s="311">
        <v>0.51200000000000001</v>
      </c>
      <c r="S11" s="144">
        <v>81.900000000000006</v>
      </c>
      <c r="T11" s="311">
        <v>0.41600000000000004</v>
      </c>
      <c r="U11" s="144">
        <v>58.6</v>
      </c>
      <c r="V11" s="311">
        <v>0.504</v>
      </c>
      <c r="W11" s="144">
        <v>77.400000000000006</v>
      </c>
    </row>
    <row r="12" spans="1:23" ht="16.5" customHeight="1">
      <c r="A12" s="153">
        <v>12</v>
      </c>
      <c r="B12" s="312">
        <v>0.48799999999999999</v>
      </c>
      <c r="C12" s="145">
        <v>69.2</v>
      </c>
      <c r="D12" s="312">
        <v>0.5</v>
      </c>
      <c r="E12" s="145">
        <v>71.3</v>
      </c>
      <c r="F12" s="312">
        <v>0.54600000000000004</v>
      </c>
      <c r="G12" s="145">
        <v>86.8</v>
      </c>
      <c r="H12" s="312">
        <v>0.56899999999999995</v>
      </c>
      <c r="I12" s="145">
        <v>90.7</v>
      </c>
      <c r="J12" s="312">
        <v>0.61899999999999999</v>
      </c>
      <c r="K12" s="145">
        <v>98.9</v>
      </c>
      <c r="L12" s="312">
        <v>0.48499999999999999</v>
      </c>
      <c r="M12" s="145">
        <v>68.3</v>
      </c>
      <c r="N12" s="312">
        <v>0.5</v>
      </c>
      <c r="O12" s="145">
        <v>71.099999999999994</v>
      </c>
      <c r="P12" s="312">
        <v>0.57999999999999996</v>
      </c>
      <c r="Q12" s="145">
        <v>88.3</v>
      </c>
      <c r="R12" s="312">
        <v>0.61</v>
      </c>
      <c r="S12" s="145">
        <v>97.4</v>
      </c>
      <c r="T12" s="312">
        <v>0.50600000000000001</v>
      </c>
      <c r="U12" s="145">
        <v>71</v>
      </c>
      <c r="V12" s="312">
        <v>0.60899999999999999</v>
      </c>
      <c r="W12" s="145">
        <v>93.4</v>
      </c>
    </row>
    <row r="13" spans="1:23" ht="16.5" customHeight="1">
      <c r="A13" s="155">
        <v>13</v>
      </c>
      <c r="B13" s="311">
        <v>0.57899999999999996</v>
      </c>
      <c r="C13" s="144">
        <v>80.7</v>
      </c>
      <c r="D13" s="311">
        <v>0.57999999999999996</v>
      </c>
      <c r="E13" s="144">
        <v>82.5</v>
      </c>
      <c r="F13" s="311">
        <v>0.65</v>
      </c>
      <c r="G13" s="144">
        <v>103.1</v>
      </c>
      <c r="H13" s="311">
        <v>0.67100000000000004</v>
      </c>
      <c r="I13" s="144">
        <v>105</v>
      </c>
      <c r="J13" s="311">
        <v>0.72699999999999998</v>
      </c>
      <c r="K13" s="144">
        <v>116</v>
      </c>
      <c r="L13" s="311">
        <v>0.56899999999999995</v>
      </c>
      <c r="M13" s="144">
        <v>80.2</v>
      </c>
      <c r="N13" s="311">
        <v>0.58599999999999997</v>
      </c>
      <c r="O13" s="144">
        <v>83.4</v>
      </c>
      <c r="P13" s="311">
        <v>0.66</v>
      </c>
      <c r="Q13" s="144">
        <v>106</v>
      </c>
      <c r="R13" s="311">
        <v>0.71499999999999997</v>
      </c>
      <c r="S13" s="144">
        <v>114</v>
      </c>
      <c r="T13" s="311">
        <v>0.58200000000000007</v>
      </c>
      <c r="U13" s="144">
        <v>81.900000000000006</v>
      </c>
      <c r="V13" s="311">
        <v>0.70599999999999996</v>
      </c>
      <c r="W13" s="144">
        <v>108.9</v>
      </c>
    </row>
    <row r="14" spans="1:23" ht="16.5" customHeight="1">
      <c r="A14" s="159">
        <v>16</v>
      </c>
      <c r="B14" s="312">
        <v>0.871</v>
      </c>
      <c r="C14" s="145">
        <v>121</v>
      </c>
      <c r="D14" s="312">
        <v>0.89</v>
      </c>
      <c r="E14" s="145">
        <v>126.1</v>
      </c>
      <c r="F14" s="312">
        <v>0.98099999999999998</v>
      </c>
      <c r="G14" s="145">
        <v>154.80000000000001</v>
      </c>
      <c r="H14" s="312">
        <v>1.016</v>
      </c>
      <c r="I14" s="145">
        <v>160.4</v>
      </c>
      <c r="J14" s="312">
        <v>1.1000000000000001</v>
      </c>
      <c r="K14" s="145">
        <v>176.1</v>
      </c>
      <c r="L14" s="312">
        <v>0.86099999999999999</v>
      </c>
      <c r="M14" s="145">
        <v>121</v>
      </c>
      <c r="N14" s="312">
        <v>0.88800000000000001</v>
      </c>
      <c r="O14" s="145">
        <v>126</v>
      </c>
      <c r="P14" s="312">
        <v>1</v>
      </c>
      <c r="Q14" s="145">
        <v>156</v>
      </c>
      <c r="R14" s="312">
        <v>1.083</v>
      </c>
      <c r="S14" s="145">
        <v>173</v>
      </c>
      <c r="T14" s="312">
        <v>0.872</v>
      </c>
      <c r="U14" s="145">
        <v>122.5</v>
      </c>
      <c r="V14" s="312">
        <v>1.0649999999999999</v>
      </c>
      <c r="W14" s="145">
        <v>163.6</v>
      </c>
    </row>
    <row r="15" spans="1:23">
      <c r="A15" s="150"/>
      <c r="B15" s="136"/>
      <c r="C15" s="136"/>
      <c r="D15" s="135"/>
      <c r="E15" s="136"/>
      <c r="F15" s="135"/>
      <c r="G15" s="136"/>
      <c r="H15" s="135"/>
      <c r="I15" s="136"/>
      <c r="J15" s="135"/>
      <c r="K15" s="137"/>
      <c r="L15" s="136"/>
      <c r="M15" s="136"/>
      <c r="N15" s="135"/>
      <c r="O15" s="136"/>
      <c r="P15" s="135"/>
      <c r="Q15" s="136"/>
      <c r="R15" s="135"/>
      <c r="S15" s="137"/>
      <c r="T15" s="136"/>
      <c r="U15" s="136"/>
      <c r="V15" s="135"/>
      <c r="W15" s="137"/>
    </row>
    <row r="16" spans="1:23">
      <c r="A16" s="150"/>
      <c r="B16" s="134"/>
      <c r="C16" s="134"/>
      <c r="D16" s="147"/>
      <c r="E16" s="134"/>
      <c r="F16" s="147"/>
      <c r="G16" s="134"/>
      <c r="H16" s="147"/>
      <c r="I16" s="134"/>
      <c r="J16" s="147"/>
      <c r="K16" s="148"/>
      <c r="L16" s="134"/>
      <c r="M16" s="134"/>
      <c r="N16" s="147"/>
      <c r="O16" s="134"/>
      <c r="P16" s="147"/>
      <c r="Q16" s="134"/>
      <c r="R16" s="147"/>
      <c r="S16" s="148"/>
      <c r="T16" s="134"/>
      <c r="U16" s="134"/>
      <c r="V16" s="147"/>
      <c r="W16" s="148"/>
    </row>
    <row r="17" spans="1:23">
      <c r="A17" s="150"/>
      <c r="B17" s="134"/>
      <c r="C17" s="134"/>
      <c r="D17" s="147"/>
      <c r="E17" s="134"/>
      <c r="F17" s="147"/>
      <c r="G17" s="134"/>
      <c r="H17" s="147"/>
      <c r="I17" s="134"/>
      <c r="J17" s="147"/>
      <c r="K17" s="148"/>
      <c r="L17" s="134"/>
      <c r="M17" s="134"/>
      <c r="N17" s="147"/>
      <c r="O17" s="134"/>
      <c r="P17" s="147"/>
      <c r="Q17" s="134"/>
      <c r="R17" s="147"/>
      <c r="S17" s="148"/>
      <c r="T17" s="134"/>
      <c r="U17" s="134"/>
      <c r="V17" s="147"/>
      <c r="W17" s="148"/>
    </row>
    <row r="18" spans="1:23">
      <c r="A18" s="150"/>
      <c r="B18" s="134"/>
      <c r="C18" s="134"/>
      <c r="D18" s="147"/>
      <c r="E18" s="134"/>
      <c r="F18" s="147"/>
      <c r="G18" s="134"/>
      <c r="H18" s="147"/>
      <c r="I18" s="134"/>
      <c r="J18" s="147"/>
      <c r="K18" s="148"/>
      <c r="L18" s="134"/>
      <c r="M18" s="134"/>
      <c r="N18" s="147"/>
      <c r="O18" s="134"/>
      <c r="P18" s="147"/>
      <c r="Q18" s="134"/>
      <c r="R18" s="147"/>
      <c r="S18" s="148"/>
      <c r="T18" s="134"/>
      <c r="U18" s="134"/>
      <c r="V18" s="147"/>
      <c r="W18" s="148"/>
    </row>
    <row r="19" spans="1:23" ht="31.5" customHeight="1">
      <c r="A19" s="150"/>
      <c r="B19" s="142"/>
      <c r="C19" s="140"/>
      <c r="D19" s="142"/>
      <c r="E19" s="140"/>
      <c r="F19" s="142"/>
      <c r="G19" s="140"/>
      <c r="H19" s="142"/>
      <c r="I19" s="140"/>
      <c r="J19" s="142"/>
      <c r="K19" s="149"/>
      <c r="L19" s="142"/>
      <c r="M19" s="140"/>
      <c r="N19" s="142"/>
      <c r="O19" s="140"/>
      <c r="P19" s="142"/>
      <c r="Q19" s="140"/>
      <c r="R19" s="142"/>
      <c r="S19" s="149"/>
      <c r="T19" s="142"/>
      <c r="U19" s="140"/>
      <c r="V19" s="142"/>
      <c r="W19" s="149"/>
    </row>
    <row r="20" spans="1:23">
      <c r="A20" s="143"/>
      <c r="B20" s="134"/>
      <c r="C20" s="134"/>
      <c r="D20" s="134"/>
      <c r="E20" s="134"/>
      <c r="F20" s="134"/>
      <c r="G20" s="134"/>
      <c r="H20" s="134"/>
      <c r="I20" s="134"/>
      <c r="J20" s="134"/>
      <c r="K20" s="134"/>
    </row>
    <row r="21" spans="1:23" s="309" customFormat="1" ht="17.25" customHeight="1">
      <c r="A21" s="307" t="s">
        <v>454</v>
      </c>
      <c r="B21" s="330" t="s">
        <v>450</v>
      </c>
      <c r="C21" s="331" t="s">
        <v>451</v>
      </c>
      <c r="D21" s="332" t="s">
        <v>470</v>
      </c>
      <c r="E21" s="333"/>
      <c r="F21" s="334"/>
      <c r="G21" s="308"/>
      <c r="H21" s="308"/>
      <c r="I21" s="308"/>
      <c r="J21" s="308"/>
      <c r="K21" s="308"/>
    </row>
    <row r="22" spans="1:23">
      <c r="A22" s="304">
        <v>1</v>
      </c>
      <c r="B22" s="315" t="s">
        <v>457</v>
      </c>
      <c r="C22" s="316" t="s">
        <v>491</v>
      </c>
      <c r="D22" s="317" t="s">
        <v>236</v>
      </c>
      <c r="E22" s="316"/>
      <c r="F22" s="318"/>
      <c r="G22" s="139"/>
      <c r="H22" s="139"/>
      <c r="I22" s="139"/>
      <c r="J22" s="139"/>
      <c r="K22" s="139"/>
    </row>
    <row r="23" spans="1:23">
      <c r="A23" s="304">
        <v>2</v>
      </c>
      <c r="B23" s="319" t="s">
        <v>458</v>
      </c>
      <c r="C23" s="303" t="s">
        <v>491</v>
      </c>
      <c r="D23" s="320" t="s">
        <v>237</v>
      </c>
      <c r="E23" s="303"/>
      <c r="F23" s="321"/>
      <c r="G23" s="139"/>
      <c r="H23" s="139"/>
      <c r="I23" s="139"/>
      <c r="J23" s="139"/>
      <c r="K23" s="139"/>
    </row>
    <row r="24" spans="1:23">
      <c r="A24" s="304">
        <v>3</v>
      </c>
      <c r="B24" s="319" t="s">
        <v>459</v>
      </c>
      <c r="C24" s="303" t="s">
        <v>491</v>
      </c>
      <c r="D24" s="320" t="s">
        <v>239</v>
      </c>
      <c r="E24" s="303"/>
      <c r="F24" s="321"/>
      <c r="G24" s="139"/>
      <c r="H24" s="139"/>
      <c r="I24" s="139"/>
      <c r="J24" s="139"/>
      <c r="K24" s="139"/>
    </row>
    <row r="25" spans="1:23">
      <c r="A25" s="304">
        <v>4</v>
      </c>
      <c r="B25" s="319" t="s">
        <v>460</v>
      </c>
      <c r="C25" s="303" t="s">
        <v>491</v>
      </c>
      <c r="D25" s="320" t="s">
        <v>452</v>
      </c>
      <c r="E25" s="303"/>
      <c r="F25" s="321"/>
      <c r="G25" s="139"/>
      <c r="H25" s="139"/>
      <c r="I25" s="139"/>
      <c r="J25" s="139"/>
      <c r="K25" s="139"/>
    </row>
    <row r="26" spans="1:23">
      <c r="A26" s="304">
        <v>5</v>
      </c>
      <c r="B26" s="322" t="s">
        <v>461</v>
      </c>
      <c r="C26" s="323" t="s">
        <v>491</v>
      </c>
      <c r="D26" s="324" t="s">
        <v>238</v>
      </c>
      <c r="E26" s="323"/>
      <c r="F26" s="326"/>
      <c r="G26" s="139"/>
      <c r="H26" s="139"/>
      <c r="I26" s="139"/>
      <c r="J26" s="139"/>
      <c r="K26" s="139"/>
    </row>
    <row r="27" spans="1:23">
      <c r="A27" s="304">
        <v>6</v>
      </c>
      <c r="B27" s="315" t="s">
        <v>486</v>
      </c>
      <c r="C27" s="316" t="s">
        <v>478</v>
      </c>
      <c r="D27" s="317" t="s">
        <v>236</v>
      </c>
      <c r="E27" s="327"/>
      <c r="F27" s="328"/>
      <c r="G27" s="139"/>
      <c r="H27" s="139"/>
      <c r="I27" s="139"/>
      <c r="J27" s="139"/>
      <c r="K27" s="139"/>
    </row>
    <row r="28" spans="1:23">
      <c r="A28" s="304">
        <v>7</v>
      </c>
      <c r="B28" s="319" t="s">
        <v>473</v>
      </c>
      <c r="C28" s="303" t="s">
        <v>478</v>
      </c>
      <c r="D28" s="320" t="s">
        <v>237</v>
      </c>
      <c r="E28" s="139"/>
      <c r="F28" s="329"/>
      <c r="G28" s="139"/>
      <c r="H28" s="139"/>
      <c r="I28" s="139"/>
      <c r="J28" s="139"/>
      <c r="K28" s="139"/>
    </row>
    <row r="29" spans="1:23">
      <c r="A29" s="304">
        <v>8</v>
      </c>
      <c r="B29" s="319" t="s">
        <v>476</v>
      </c>
      <c r="C29" s="303" t="s">
        <v>478</v>
      </c>
      <c r="D29" s="320" t="s">
        <v>452</v>
      </c>
      <c r="E29" s="139"/>
      <c r="F29" s="329"/>
      <c r="G29" s="139"/>
      <c r="H29" s="139"/>
      <c r="I29" s="139"/>
      <c r="J29" s="139"/>
      <c r="K29" s="139"/>
    </row>
    <row r="30" spans="1:23">
      <c r="A30" s="304">
        <v>9</v>
      </c>
      <c r="B30" s="322" t="s">
        <v>477</v>
      </c>
      <c r="C30" s="303" t="s">
        <v>478</v>
      </c>
      <c r="D30" s="324" t="s">
        <v>238</v>
      </c>
      <c r="E30" s="306"/>
      <c r="F30" s="325"/>
      <c r="G30" s="139"/>
      <c r="H30" s="139"/>
      <c r="I30" s="139"/>
      <c r="J30" s="139"/>
      <c r="K30" s="139"/>
    </row>
    <row r="31" spans="1:23">
      <c r="A31" s="304">
        <v>10</v>
      </c>
      <c r="B31" s="315" t="s">
        <v>487</v>
      </c>
      <c r="C31" s="316" t="s">
        <v>484</v>
      </c>
      <c r="D31" s="317" t="s">
        <v>236</v>
      </c>
      <c r="E31" s="316"/>
      <c r="F31" s="318"/>
      <c r="G31" s="139"/>
      <c r="H31" s="139"/>
      <c r="I31" s="139"/>
      <c r="J31" s="139"/>
      <c r="K31" s="139"/>
    </row>
    <row r="32" spans="1:23">
      <c r="A32" s="304">
        <v>11</v>
      </c>
      <c r="B32" s="322" t="s">
        <v>488</v>
      </c>
      <c r="C32" s="323" t="s">
        <v>484</v>
      </c>
      <c r="D32" s="324" t="s">
        <v>485</v>
      </c>
      <c r="E32" s="323"/>
      <c r="F32" s="326"/>
      <c r="G32" s="139"/>
      <c r="H32" s="139"/>
      <c r="I32" s="139"/>
      <c r="J32" s="139"/>
      <c r="K32" s="139"/>
    </row>
    <row r="33" spans="1:11">
      <c r="A33" s="304">
        <v>12</v>
      </c>
      <c r="B33" s="315" t="s">
        <v>492</v>
      </c>
      <c r="C33" s="316" t="s">
        <v>489</v>
      </c>
      <c r="D33" s="317" t="s">
        <v>236</v>
      </c>
      <c r="E33" s="316"/>
      <c r="F33" s="318"/>
      <c r="G33" s="139"/>
      <c r="H33" s="139"/>
      <c r="I33" s="139"/>
      <c r="J33" s="139"/>
      <c r="K33" s="139"/>
    </row>
    <row r="34" spans="1:11">
      <c r="A34" s="304">
        <v>13</v>
      </c>
      <c r="B34" s="319" t="s">
        <v>493</v>
      </c>
      <c r="C34" s="303" t="s">
        <v>489</v>
      </c>
      <c r="D34" s="320" t="s">
        <v>237</v>
      </c>
      <c r="E34" s="303"/>
      <c r="F34" s="321"/>
      <c r="G34" s="139"/>
      <c r="H34" s="139"/>
      <c r="I34" s="139"/>
      <c r="J34" s="139"/>
      <c r="K34" s="139"/>
    </row>
    <row r="35" spans="1:11">
      <c r="A35" s="304">
        <v>14</v>
      </c>
      <c r="B35" s="319" t="s">
        <v>494</v>
      </c>
      <c r="C35" s="303" t="s">
        <v>489</v>
      </c>
      <c r="D35" s="320" t="s">
        <v>239</v>
      </c>
      <c r="E35" s="303"/>
      <c r="F35" s="321"/>
      <c r="G35" s="139"/>
      <c r="H35" s="139"/>
      <c r="I35" s="139"/>
      <c r="J35" s="139"/>
      <c r="K35" s="139"/>
    </row>
    <row r="36" spans="1:11">
      <c r="A36" s="304">
        <v>15</v>
      </c>
      <c r="B36" s="319" t="s">
        <v>495</v>
      </c>
      <c r="C36" s="303" t="s">
        <v>489</v>
      </c>
      <c r="D36" s="320" t="s">
        <v>452</v>
      </c>
      <c r="E36" s="303"/>
      <c r="F36" s="321"/>
      <c r="G36" s="139"/>
      <c r="H36" s="139"/>
      <c r="I36" s="139"/>
      <c r="J36" s="139"/>
      <c r="K36" s="139"/>
    </row>
    <row r="37" spans="1:11">
      <c r="A37" s="304">
        <v>16</v>
      </c>
      <c r="B37" s="322" t="s">
        <v>496</v>
      </c>
      <c r="C37" s="323" t="s">
        <v>489</v>
      </c>
      <c r="D37" s="324" t="s">
        <v>238</v>
      </c>
      <c r="E37" s="323"/>
      <c r="F37" s="326"/>
      <c r="G37" s="139"/>
      <c r="H37" s="139"/>
      <c r="I37" s="139"/>
      <c r="J37" s="139"/>
      <c r="K37" s="139"/>
    </row>
    <row r="38" spans="1:11">
      <c r="E38" s="139"/>
      <c r="F38" s="139"/>
      <c r="G38" s="139"/>
      <c r="H38" s="139"/>
      <c r="I38" s="139"/>
      <c r="J38" s="139"/>
      <c r="K38" s="139"/>
    </row>
    <row r="39" spans="1:11">
      <c r="E39" s="139"/>
      <c r="F39" s="139"/>
      <c r="G39" s="139"/>
      <c r="H39" s="139"/>
      <c r="I39" s="139"/>
      <c r="J39" s="139"/>
      <c r="K39" s="139"/>
    </row>
    <row r="40" spans="1:11">
      <c r="E40" s="139"/>
      <c r="F40" s="139"/>
      <c r="G40" s="139"/>
      <c r="H40" s="139"/>
      <c r="I40" s="139"/>
      <c r="J40" s="139"/>
      <c r="K40" s="139"/>
    </row>
    <row r="41" spans="1:11">
      <c r="E41" s="139"/>
      <c r="F41" s="139"/>
      <c r="G41" s="139"/>
      <c r="H41" s="139"/>
      <c r="I41" s="139"/>
      <c r="J41" s="139"/>
      <c r="K41" s="139"/>
    </row>
    <row r="42" spans="1:11">
      <c r="E42" s="139"/>
      <c r="F42" s="139"/>
      <c r="G42" s="139"/>
      <c r="H42" s="139"/>
      <c r="I42" s="139"/>
      <c r="J42" s="139"/>
      <c r="K42" s="139"/>
    </row>
    <row r="43" spans="1:11">
      <c r="E43" s="139"/>
      <c r="F43" s="139"/>
      <c r="G43" s="139"/>
      <c r="H43" s="139"/>
      <c r="I43" s="139"/>
      <c r="J43" s="139"/>
      <c r="K43" s="139"/>
    </row>
    <row r="44" spans="1:11">
      <c r="E44" s="139"/>
      <c r="F44" s="139"/>
      <c r="G44" s="139"/>
      <c r="H44" s="139"/>
      <c r="I44" s="139"/>
      <c r="J44" s="139"/>
      <c r="K44" s="139"/>
    </row>
  </sheetData>
  <sheetProtection password="F946" sheet="1" objects="1" scenarios="1" selectLockedCells="1" selectUnlockedCells="1"/>
  <customSheetViews>
    <customSheetView guid="{0B2838C1-64E2-4766-B82E-FE301CB42C7D}" scale="120">
      <pageMargins left="0.7" right="0.7" top="0.75" bottom="0.75" header="0.3" footer="0.3"/>
    </customSheetView>
  </customSheetViews>
  <mergeCells count="36">
    <mergeCell ref="J2:K2"/>
    <mergeCell ref="J4:K4"/>
    <mergeCell ref="B1:K1"/>
    <mergeCell ref="B3:C3"/>
    <mergeCell ref="D3:E3"/>
    <mergeCell ref="F3:G3"/>
    <mergeCell ref="H3:I3"/>
    <mergeCell ref="J3:K3"/>
    <mergeCell ref="B2:C2"/>
    <mergeCell ref="D2:E2"/>
    <mergeCell ref="F2:G2"/>
    <mergeCell ref="H2:I2"/>
    <mergeCell ref="B4:C4"/>
    <mergeCell ref="D4:E4"/>
    <mergeCell ref="F4:G4"/>
    <mergeCell ref="H4:I4"/>
    <mergeCell ref="L1:S1"/>
    <mergeCell ref="L2:M2"/>
    <mergeCell ref="N2:O2"/>
    <mergeCell ref="P2:Q2"/>
    <mergeCell ref="R2:S2"/>
    <mergeCell ref="L4:M4"/>
    <mergeCell ref="N4:O4"/>
    <mergeCell ref="P4:Q4"/>
    <mergeCell ref="R4:S4"/>
    <mergeCell ref="L3:M3"/>
    <mergeCell ref="N3:O3"/>
    <mergeCell ref="P3:Q3"/>
    <mergeCell ref="R3:S3"/>
    <mergeCell ref="T4:U4"/>
    <mergeCell ref="V4:W4"/>
    <mergeCell ref="T3:U3"/>
    <mergeCell ref="V3:W3"/>
    <mergeCell ref="T1:W1"/>
    <mergeCell ref="T2:U2"/>
    <mergeCell ref="V2:W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150</vt:i4>
      </vt:variant>
    </vt:vector>
  </HeadingPairs>
  <TitlesOfParts>
    <vt:vector size="160" baseType="lpstr">
      <vt:lpstr>ورودی ها</vt:lpstr>
      <vt:lpstr>محاسبات  ریل</vt:lpstr>
      <vt:lpstr>محاسبات  سیم بکسل</vt:lpstr>
      <vt:lpstr>محاسبات دیگر </vt:lpstr>
      <vt:lpstr>Omega</vt:lpstr>
      <vt:lpstr>ریل راهنما</vt:lpstr>
      <vt:lpstr>مساحت کابین &amp; Neq(t)</vt:lpstr>
      <vt:lpstr>فلکه هرزگرد</vt:lpstr>
      <vt:lpstr>جدول مشخصات سیم بکسل</vt:lpstr>
      <vt:lpstr>Sheet3</vt:lpstr>
      <vt:lpstr>'محاسبات  سیم بکسل'!µ1</vt:lpstr>
      <vt:lpstr>'محاسبات  سیم بکسل'!µ2</vt:lpstr>
      <vt:lpstr>'محاسبات  سیم بکسل'!µ3</vt:lpstr>
      <vt:lpstr>'محاسبات  ریل'!A</vt:lpstr>
      <vt:lpstr>a.</vt:lpstr>
      <vt:lpstr>A1.</vt:lpstr>
      <vt:lpstr>Amax</vt:lpstr>
      <vt:lpstr>Amin</vt:lpstr>
      <vt:lpstr>Atotal</vt:lpstr>
      <vt:lpstr>'محاسبات  ریل'!c.</vt:lpstr>
      <vt:lpstr>Comp</vt:lpstr>
      <vt:lpstr>CsMAX</vt:lpstr>
      <vt:lpstr>DD</vt:lpstr>
      <vt:lpstr>dDPcar</vt:lpstr>
      <vt:lpstr>dDPcwt</vt:lpstr>
      <vt:lpstr>Door_Type</vt:lpstr>
      <vt:lpstr>Dp</vt:lpstr>
      <vt:lpstr>dPcar</vt:lpstr>
      <vt:lpstr>dPcwt</vt:lpstr>
      <vt:lpstr>dsr</vt:lpstr>
      <vt:lpstr>Dt</vt:lpstr>
      <vt:lpstr>DW</vt:lpstr>
      <vt:lpstr>DX</vt:lpstr>
      <vt:lpstr>DY</vt:lpstr>
      <vt:lpstr>'محاسبات  ریل'!E</vt:lpstr>
      <vt:lpstr>f1.</vt:lpstr>
      <vt:lpstr>f2.</vt:lpstr>
      <vt:lpstr>f3.</vt:lpstr>
      <vt:lpstr>Fk</vt:lpstr>
      <vt:lpstr>FRCar</vt:lpstr>
      <vt:lpstr>FRCwt</vt:lpstr>
      <vt:lpstr>'محاسبات  ریل'!FS</vt:lpstr>
      <vt:lpstr>Fsr_min</vt:lpstr>
      <vt:lpstr>'محاسبات  ریل'!gn</vt:lpstr>
      <vt:lpstr>'محاسبات  سیم بکسل'!gn</vt:lpstr>
      <vt:lpstr>gn</vt:lpstr>
      <vt:lpstr>Groove_Type</vt:lpstr>
      <vt:lpstr>Guide_Rail_Table</vt:lpstr>
      <vt:lpstr>Guide_Rail_Type</vt:lpstr>
      <vt:lpstr>Guide_Shoe_Table</vt:lpstr>
      <vt:lpstr>Guide_Shoe_Type</vt:lpstr>
      <vt:lpstr>h</vt:lpstr>
      <vt:lpstr>H.</vt:lpstr>
      <vt:lpstr>Hardened</vt:lpstr>
      <vt:lpstr>hP</vt:lpstr>
      <vt:lpstr>'محاسبات  ریل'!i</vt:lpstr>
      <vt:lpstr>iDPcar</vt:lpstr>
      <vt:lpstr>iDPcwt</vt:lpstr>
      <vt:lpstr>iG</vt:lpstr>
      <vt:lpstr>iPcar</vt:lpstr>
      <vt:lpstr>iPcwt</vt:lpstr>
      <vt:lpstr>'محاسبات  ریل'!IX</vt:lpstr>
      <vt:lpstr>'محاسبات  ریل'!IY</vt:lpstr>
      <vt:lpstr>'محاسبات  ریل'!K1.</vt:lpstr>
      <vt:lpstr>K2.</vt:lpstr>
      <vt:lpstr>'محاسبات  ریل'!K3.</vt:lpstr>
      <vt:lpstr>Kp</vt:lpstr>
      <vt:lpstr>L</vt:lpstr>
      <vt:lpstr>Lift_Type</vt:lpstr>
      <vt:lpstr>loads</vt:lpstr>
      <vt:lpstr>lp</vt:lpstr>
      <vt:lpstr>M</vt:lpstr>
      <vt:lpstr>Max_Car_Area</vt:lpstr>
      <vt:lpstr>MComp</vt:lpstr>
      <vt:lpstr>mcr</vt:lpstr>
      <vt:lpstr>MCRcar</vt:lpstr>
      <vt:lpstr>MCRcwt</vt:lpstr>
      <vt:lpstr>Mcwt</vt:lpstr>
      <vt:lpstr>mDPcar</vt:lpstr>
      <vt:lpstr>mDPcwt</vt:lpstr>
      <vt:lpstr>Mgb</vt:lpstr>
      <vt:lpstr>Min_Car_Area</vt:lpstr>
      <vt:lpstr>Motor_type</vt:lpstr>
      <vt:lpstr>mPcar</vt:lpstr>
      <vt:lpstr>mPcwt</vt:lpstr>
      <vt:lpstr>mPTD</vt:lpstr>
      <vt:lpstr>mPTD.</vt:lpstr>
      <vt:lpstr>msr</vt:lpstr>
      <vt:lpstr>MSRcar</vt:lpstr>
      <vt:lpstr>MSRcwt</vt:lpstr>
      <vt:lpstr>mt</vt:lpstr>
      <vt:lpstr>MTrav</vt:lpstr>
      <vt:lpstr>n</vt:lpstr>
      <vt:lpstr>nc</vt:lpstr>
      <vt:lpstr>nc.</vt:lpstr>
      <vt:lpstr>Neq</vt:lpstr>
      <vt:lpstr>Neqp</vt:lpstr>
      <vt:lpstr>Neqt</vt:lpstr>
      <vt:lpstr>Npr</vt:lpstr>
      <vt:lpstr>Nps</vt:lpstr>
      <vt:lpstr>nS</vt:lpstr>
      <vt:lpstr>nt</vt:lpstr>
      <vt:lpstr>OH</vt:lpstr>
      <vt:lpstr>P</vt:lpstr>
      <vt:lpstr>Passengers_No.</vt:lpstr>
      <vt:lpstr>Pit</vt:lpstr>
      <vt:lpstr>'محاسبات  ریل'!Print_Area</vt:lpstr>
      <vt:lpstr>'محاسبات  سیم بکسل'!Print_Area</vt:lpstr>
      <vt:lpstr>'محاسبات دیگر '!Print_Area</vt:lpstr>
      <vt:lpstr>'ورودی ها'!Print_Area</vt:lpstr>
      <vt:lpstr>PulleyReducedMass</vt:lpstr>
      <vt:lpstr>Q</vt:lpstr>
      <vt:lpstr>q.</vt:lpstr>
      <vt:lpstr>Q1.</vt:lpstr>
      <vt:lpstr>Q2.</vt:lpstr>
      <vt:lpstr>Q3.</vt:lpstr>
      <vt:lpstr>qm</vt:lpstr>
      <vt:lpstr>r.</vt:lpstr>
      <vt:lpstr>RDB</vt:lpstr>
      <vt:lpstr>Rope</vt:lpstr>
      <vt:lpstr>Rope_Brand</vt:lpstr>
      <vt:lpstr>Rope_Data_Table</vt:lpstr>
      <vt:lpstr>Rope_Type</vt:lpstr>
      <vt:lpstr>Rope_Type_Table</vt:lpstr>
      <vt:lpstr>Safety_gear_Type</vt:lpstr>
      <vt:lpstr>Sf_cur</vt:lpstr>
      <vt:lpstr>Sf_min</vt:lpstr>
      <vt:lpstr>Stops</vt:lpstr>
      <vt:lpstr>VCar</vt:lpstr>
      <vt:lpstr>Vsr</vt:lpstr>
      <vt:lpstr>W</vt:lpstr>
      <vt:lpstr>Wout</vt:lpstr>
      <vt:lpstr>Wr</vt:lpstr>
      <vt:lpstr>Wrap</vt:lpstr>
      <vt:lpstr>'محاسبات  ریل'!WX</vt:lpstr>
      <vt:lpstr>'محاسبات  ریل'!Wxx</vt:lpstr>
      <vt:lpstr>'محاسبات  ریل'!WY</vt:lpstr>
      <vt:lpstr>'محاسبات  ریل'!Wyy</vt:lpstr>
      <vt:lpstr>XC</vt:lpstr>
      <vt:lpstr>Xi</vt:lpstr>
      <vt:lpstr>XP</vt:lpstr>
      <vt:lpstr>XS</vt:lpstr>
      <vt:lpstr>y1.</vt:lpstr>
      <vt:lpstr>y2.</vt:lpstr>
      <vt:lpstr>y4.</vt:lpstr>
      <vt:lpstr>YC</vt:lpstr>
      <vt:lpstr>Yi</vt:lpstr>
      <vt:lpstr>YP</vt:lpstr>
      <vt:lpstr>YS</vt:lpstr>
      <vt:lpstr>α</vt:lpstr>
      <vt:lpstr>α.</vt:lpstr>
      <vt:lpstr>β</vt:lpstr>
      <vt:lpstr>'محاسبات  سیم بکسل'!β.</vt:lpstr>
      <vt:lpstr>γ</vt:lpstr>
      <vt:lpstr>'محاسبات  سیم بکسل'!γ.</vt:lpstr>
      <vt:lpstr>ηG</vt:lpstr>
      <vt:lpstr>ηs</vt:lpstr>
      <vt:lpstr>ηSP</vt:lpstr>
      <vt:lpstr>'محاسبات  ریل'!σk</vt:lpstr>
      <vt:lpstr>'محاسبات  ریل'!ω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محاسبات استاندارد ملی 6303-1</dc:title>
  <dc:creator>سندیکای صنایع اسانسور و پله برفی</dc:creator>
  <cp:lastModifiedBy>Hariri</cp:lastModifiedBy>
  <cp:lastPrinted>2016-10-12T15:09:07Z</cp:lastPrinted>
  <dcterms:created xsi:type="dcterms:W3CDTF">2016-02-21T20:23:12Z</dcterms:created>
  <dcterms:modified xsi:type="dcterms:W3CDTF">2018-06-29T08:29:45Z</dcterms:modified>
  <cp:contentStatus>Beta Version</cp:contentStatus>
</cp:coreProperties>
</file>